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efrag-my.sharepoint.com/personal/sergio_carosio_efrag_org/Documents/Desktop/Repository Destination/Digital-Template-to-XBRL-Converter-1/digital-templates/"/>
    </mc:Choice>
  </mc:AlternateContent>
  <xr:revisionPtr revIDLastSave="5163" documentId="8_{8F8C91A4-9BAF-480E-93C6-D7EABA290476}" xr6:coauthVersionLast="47" xr6:coauthVersionMax="47" xr10:uidLastSave="{5F79C204-800B-4B40-968D-27B25E0A987C}"/>
  <bookViews>
    <workbookView xWindow="-108" yWindow="-108" windowWidth="23256" windowHeight="13896" tabRatio="672" xr2:uid="{2424E359-BB1A-4C61-AEBD-805991FC6353}"/>
  </bookViews>
  <sheets>
    <sheet name="Cover Page Template Sample" sheetId="18" r:id="rId1"/>
    <sheet name="Introduction" sheetId="4" r:id="rId2"/>
    <sheet name="Table of Contents &amp; Validation" sheetId="16" r:id="rId3"/>
    <sheet name="General Information" sheetId="3" r:id="rId4"/>
    <sheet name="Environmental Disclosures" sheetId="1" r:id="rId5"/>
    <sheet name="Social Disclosures" sheetId="12" r:id="rId6"/>
    <sheet name="Governance Disclosures" sheetId="7" r:id="rId7"/>
    <sheet name="Fuel Converter" sheetId="8" r:id="rId8"/>
    <sheet name="Fuel Conversion Parameters" sheetId="15" r:id="rId9"/>
    <sheet name="Unit Of Measurement Converter" sheetId="9" r:id="rId10"/>
    <sheet name="Licence" sheetId="14" r:id="rId11"/>
    <sheet name="Enumeration Lists" sheetId="6" r:id="rId12"/>
    <sheet name="Translations" sheetId="17" r:id="rId13"/>
    <sheet name="Technical Sheet" sheetId="11" r:id="rId14"/>
  </sheets>
  <definedNames>
    <definedName name="_xlnm._FilterDatabase" localSheetId="12" hidden="1">Translations!$A$1:$B$490</definedName>
    <definedName name="AddressOfSite">'General Information'!$D$450:$D$549</definedName>
    <definedName name="AmountOfEmissionsTable">'Environmental Disclosures'!$D$80:$K$179</definedName>
    <definedName name="AmountOfEmissionToAir">'Environmental Disclosures'!$G$80:$I$179</definedName>
    <definedName name="AmountOfEmissionToAir_unit">'Environmental Disclosures'!$C$78</definedName>
    <definedName name="AmountOfEmissionToSoil">'Environmental Disclosures'!$K$80:$K$179</definedName>
    <definedName name="AmountOfEmissionToSoil_unit">'Environmental Disclosures'!$C$78</definedName>
    <definedName name="AmountOfEmissionToWater">'Environmental Disclosures'!$J$80:$J$179</definedName>
    <definedName name="AmountOfEmissionToWater_unit">'Environmental Disclosures'!$C$78</definedName>
    <definedName name="AmountOfWaterWithdrawnAtSitesLocatedInAreasOfHighWaterStress">'Environmental Disclosures'!$D$304</definedName>
    <definedName name="AreaOfSiteInBiodiversitySensitiveArea">'Environmental Disclosures'!$G$188:$I$287</definedName>
    <definedName name="AreaOfSiteInBiodiversitySensitiveArea_unit">'Environmental Disclosures'!$C$186</definedName>
    <definedName name="Assets">'General Information'!$E$326</definedName>
    <definedName name="AverageNumberOfAnnualTrainingHoursPerFemaleEmployee">'Social Disclosures'!$D$158</definedName>
    <definedName name="AverageNumberOfAnnualTrainingHoursPerMaleEmployee">'Social Disclosures'!$D$157</definedName>
    <definedName name="AverageNumberOfAnnualTrainingHoursPerNonReportedGenderEmployee">'Social Disclosures'!$D$160</definedName>
    <definedName name="AverageNumberOfAnnualTrainingHoursPerOtherGenderEmployee">'Social Disclosures'!$D$159</definedName>
    <definedName name="BaselineYearMember">'Environmental Disclosures'!$G$21</definedName>
    <definedName name="BasisForPreparation">'General Information'!$E$122</definedName>
    <definedName name="BasisForReporting">'General Information'!$E$223</definedName>
    <definedName name="BreakdownOfAnnualMassFlowOfRelevantMaterialsUsedByTheUndertakingHypercube">'Environmental Disclosures'!$C$435:$I$534</definedName>
    <definedName name="BreakdownOfEnergyConsumptionAxis">'Environmental Disclosures'!$C$12:$F$14</definedName>
    <definedName name="BreakdownOfEnergyConsumptionTable">'Environmental Disclosures'!$G$12:$K$14</definedName>
    <definedName name="CityOfSite">'General Information'!$F$450:$F$549</definedName>
    <definedName name="CountryOfEmploymentContractAxis">'Social Disclosures'!$C$29:$D$128</definedName>
    <definedName name="CountryOfPrimaryOperationsAndLocationOfSignificantAssets">'General Information'!$E$331</definedName>
    <definedName name="CountryOfSite">'General Information'!$G$450:$G$549</definedName>
    <definedName name="DateOfAdoptionOfTransitionPlanForUndertakingNotHavingAdoptedTransitionPlanYet">'Environmental Disclosures'!$D$62</definedName>
    <definedName name="DescriptionOfActionsTakeToAddressTheConfirmedIncidents">'Social Disclosures'!$D$192</definedName>
    <definedName name="DescriptionOfATargetRelatedToAPolicy">'General Information'!$E$566</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Disclosures'!$E$540</definedName>
    <definedName name="DescriptionOfHowCircularEconomyPrinciplesAreApplied">'Environmental Disclosures'!$D$317</definedName>
    <definedName name="DescriptionOfKeyElementsOfStrategyThatRelatesToOrAffectsSustainabilityIssues">'General Information'!$E$577</definedName>
    <definedName name="DescriptionOfLimitsToTheDistributionOfProfitsConnectedToTheMutualisticNatureOrToTheNatureOfTheActivitiesConsistingInServicesOfGeneralEconomicInterestSGEI">'General Information'!$D$562</definedName>
    <definedName name="DescriptionOfMainBusinessRelationships">'General Information'!$E$573</definedName>
    <definedName name="DescriptionOfPracticesPoliciesAndOrFutureInitiatives">'General Information'!$E$565</definedName>
    <definedName name="DescriptionOfSignificantGroupsOfProductsAndOrServicesOffered">'General Information'!$E$571</definedName>
    <definedName name="DescriptionOfSignificantMarketsTheUndertakingOperatesIn">'General Information'!$E$572</definedName>
    <definedName name="DescriptionOfSustainabilityRelatedCertificationsOrLabels">'General Information'!$E$441</definedName>
    <definedName name="DescriptionOfTheEffectiveParticipationOfWorkersUsersOrOtherInterestedPartiesOrCommunitiesInGovernance">'General Information'!$D$560</definedName>
    <definedName name="DisclosureOfAnyOtherEnvironmentalAndOrEntitySpecificEnvironmentalDisclosures">'Environmental Disclosures'!$C$548</definedName>
    <definedName name="DisclosureOfAnyOtherGeneralAndOrEntitySpecificInformation">'General Information'!$C$581</definedName>
    <definedName name="DisclosureOfAnyOtherGovernanceAndOrEntitySpecificGovernanceDisclosures">'Governance Disclosures'!$C$38</definedName>
    <definedName name="DisclosureOfAnyOtherSocialAndOrEntitySpecificSocialDisclosures">'Social Disclosures'!$C$200</definedName>
    <definedName name="DisclosureOfHowItHasAssessedTheExposureAndSensitivityOfItsAssetsActivitiesAndValueChainToTheseHazardsAndTransitionEvents">'Environmental Disclosures'!$E$541</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Disclosures'!$E$543</definedName>
    <definedName name="EmployeeCountingMethodology">'General Information'!$E$329</definedName>
    <definedName name="EmployeesReceivePayEqualOrAboveMinimumWageDeterminedByNationalLawOrCollectiveAgreement">'Social Disclosures'!$D$147</definedName>
    <definedName name="EmployeeTurnoverRate">'Social Disclosures'!$D$137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Lists'!$R$2:$R$4</definedName>
    <definedName name="enum_employee_methodology">'Enumeration Lists'!$AB$2:$AB$3</definedName>
    <definedName name="enum_ImplementationStatus">'Enumeration Lists'!$U$2:$U$3</definedName>
    <definedName name="enum_ListBiodiversityArea">'Enumeration Lists'!$J$2:$J$3</definedName>
    <definedName name="enum_ListCountiesCode">'Enumeration Lists'!$G$2:$G$257</definedName>
    <definedName name="enum_ListCountriesName">'Enumeration Lists'!$E$2:$E$257</definedName>
    <definedName name="enum_ListDays">'Enumeration Lists'!$AC$2:$AC$32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Lists'!$P$2:$P$3</definedName>
    <definedName name="enum_ListIdentifier">'Enumeration Lists'!$AD$2:$AD$5</definedName>
    <definedName name="enum_ListLegalForms">'Enumeration Lists'!$L$2:$L$6</definedName>
    <definedName name="enum_ListMass">'Fuel Conversion Parameters'!$G$2:$G$5</definedName>
    <definedName name="enum_ListMediumOfRelease">'Enumeration Lists'!$N$2:$N$4</definedName>
    <definedName name="enum_ListMonth">'Enumeration Lists'!$T$2:$T$13</definedName>
    <definedName name="enum_ListNACECategories">'Enumeration Lists'!$C$2:$C$399</definedName>
    <definedName name="enum_ListNACECode">'Enumeration Lists'!$A$3:$A$1049</definedName>
    <definedName name="enum_ListNACETechnicalName">'Enumeration Lists'!$D$3:$D$1049</definedName>
    <definedName name="enum_ListNCV">'Fuel Conversion Parameters'!$U$2:$U$13</definedName>
    <definedName name="enum_ListOfCurrencies">'Enumeration Lists'!$AA$2:$AA$170</definedName>
    <definedName name="enum_ListOfFutureYears">'Enumeration Lists'!$S$26:$S$102</definedName>
    <definedName name="enum_ListOfPastYears">'Enumeration Lists'!$S$2:$S$26</definedName>
    <definedName name="enum_ListOmittedDisclosures">'Enumeration Lists'!$V$2:$V$21</definedName>
    <definedName name="enum_ListOmittedDisclosuresWithNone">'Enumeration Lists'!$H$2:$H$22</definedName>
    <definedName name="enum_ListPollutants">'Enumeration Lists'!$I$2:$I$95</definedName>
    <definedName name="enum_ListRenewabilityState">'Fuel Conversion Parameters'!$AX$2:$AX$4</definedName>
    <definedName name="enum_ListStateOfMatter">'Fuel Conversion Parameters'!$AW$2:$AW$5</definedName>
    <definedName name="enum_ListSustainabilityIssues">'Enumeration Lists'!$O$2:$O$12</definedName>
    <definedName name="enum_ListTypeOfWastes">'Enumeration Lists'!$K$2:$K$974</definedName>
    <definedName name="enum_ListUnitMeasurement">'Enumeration Lists'!$M$2:$M$4</definedName>
    <definedName name="enum_ListUnitMeasurement_mass_only">'Enumeration Lists'!$Y$2:$Y$3</definedName>
    <definedName name="enum_ListVolume">'Fuel Conversion Parameters'!$H$2:$H$3</definedName>
    <definedName name="enum_ListVolumeMass">'Fuel Conversion Parameters'!$J$2:$J$7</definedName>
    <definedName name="enum_ListWasteCategories">'Enumeration Lists'!$Z$2:$Z$133</definedName>
    <definedName name="enum_ListYear">'Enumeration Lists'!$S$2:$S$102</definedName>
    <definedName name="enum_ListYesNo">'Enumeration Lists'!$Q$2:$Q$3</definedName>
    <definedName name="FemaleToMaleRatioAtManagementLevelForTheReportingPeriod">'Social Disclosures'!$D$167</definedName>
    <definedName name="FinancialInvestmentInTheCapitalOrAssetsOfSocialEconomyEntities">'General Information'!$D$561</definedName>
    <definedName name="GenderDiversityRatioInGovernanceBody">'Governance Disclosures'!$H$33</definedName>
    <definedName name="GPSLocationOfSite">'General Information'!$H$450:$H$549</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Disclosures'!$C$435:$C$534</definedName>
    <definedName name="IdentifierOfSitesInBiodiversitySensitiveAreasTypedAxis">'Environmental Disclosures'!$C$188:$C$287</definedName>
    <definedName name="IdentifierOfSiteTypedAxis">'General Information'!$C$450:$C$549</definedName>
    <definedName name="IdentifierOfSubsidiaryTypedAxis">'General Information'!$C$336:$C$435</definedName>
    <definedName name="LinkToPreviousReportContainingDisclosuresThatRemainUnchanged">'General Information'!$E$119</definedName>
    <definedName name="ListOfDisclosuresForWhichNoChangesAreReportedComparedToThePreviousPeriodReporting">'General Information'!$E$19:$E$118</definedName>
    <definedName name="ListOfOmittedDisclosuresDeemedToBeClassifiedOrSensitiveInformation">'General Information'!$E$123:$E$222</definedName>
    <definedName name="ListOfSitesTable">'General Information'!$C$450:$H$549</definedName>
    <definedName name="ListOfSubsidiaryTable">'General Information'!$C$336:$E$435</definedName>
    <definedName name="MostSeniorLevelAccountableForImplementationOfPolicies">'General Information'!$E$567</definedName>
    <definedName name="NaceSectorClassificationCodes">'General Information'!$E$226:$E$325</definedName>
    <definedName name="NameOfMaterialUsed">'Environmental Disclosures'!$D$435:$F$534</definedName>
    <definedName name="NameOfTheSubsidiary">'General Information'!$D$336:$D$435</definedName>
    <definedName name="NumberOfEmployees">'General Information'!$E$328</definedName>
    <definedName name="NumberOfEmployeesForCountryOfEmploymentContract">'Social Disclosures'!$E$29:$H$128</definedName>
    <definedName name="NumberOfEmployeesForCountryOfEmploymentContractTable">'Social Disclosures'!$C$29:$H$128</definedName>
    <definedName name="NumberOfFatalitiesAsAResultOfWorkRelatedInjuriesAndWorkRelatedIllHealth">'Social Disclosures'!$D$144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Disclosures'!$D$140</definedName>
    <definedName name="NumberOfTemporaryContractEmployees">'Social Disclosures'!$D$11</definedName>
    <definedName name="OtherUndertakingsLegalForm">'General Information'!$E$225</definedName>
    <definedName name="PercentageGapInPayBetweenFemaleAndMaleEmployees">'Social Disclosures'!$D$150</definedName>
    <definedName name="PercentageOfEmployeesCoveredByCollectiveBargainingAgreements">'Social Disclosures'!$D$152</definedName>
    <definedName name="PostalCodeOfSite">'General Information'!$E$450:$E$549</definedName>
    <definedName name="PotentialAdverseEffectsOfClimateRisksThatMayAffectItsFinancialPerformanceOrBusinessOperationsInTheShortMediumOrLongTermIndicatingWhetherItAssessesTheRisksToBeHighMediumOrLow">'Environmental Disclosures'!$E$544</definedName>
    <definedName name="PracticePolicyAndOrFutureInitiativeIsPubliclyAvailable">'General Information'!$N$556</definedName>
    <definedName name="PubliclyAvailableDisclosure">'Environmental Disclosures'!$G$75</definedName>
    <definedName name="RateOfRecordableWorkRelatedAccidentsInTheReportingPeriod">'Social Disclosures'!$D$143</definedName>
    <definedName name="RegisteredAddressOfTheSubsidiary">'General Information'!$E$336:$E$435</definedName>
    <definedName name="ReportContainsDisclosuresFromThePreviousReportingPeriodThatRemainUnchanged">'General Information'!$E$18</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Disclosures'!$J$188:$J$287</definedName>
    <definedName name="SiteLocatedNearABiodiversitySensitiveArea">'Environmental Disclosures'!$K$188:$K$287</definedName>
    <definedName name="SitesInBiodiversitySensitiveAreasTable">'Environmental Disclosures'!$C$188:$K$287</definedName>
    <definedName name="SpecificationOfAnyConfirmedIncidentInvolvingWorkersInTheValueChainAffectedCommunitiesConsumersAndEndUsers">'Social Disclosures'!$D$194</definedName>
    <definedName name="SpecificationOfOtherHumanRightsRelatedToTheConfirmedIncident">'Social Disclosures'!$D$191</definedName>
    <definedName name="SpecificationOfOtherTypesOfContentCoveredByTheCodeOfConductOrHumanRightsPolicy">'Social Disclosures'!$D$180</definedName>
    <definedName name="SustainabilityIssueAddressedByPracticePolicyAndOrFutureInitiative">'General Information'!$D$556:$M$556</definedName>
    <definedName name="TargetYearMember">'Environmental Disclosures'!$J$21</definedName>
    <definedName name="template_b1_basis_for_preparation_and_other_undertakings_general_information">'General Information'!$C$121</definedName>
    <definedName name="template_b1_disclosure_of_sustainability_related_certifications_or_labels">'General Information'!$C$437</definedName>
    <definedName name="template_b1_list_of_sites">'General Information'!$C$443</definedName>
    <definedName name="template_b1_list_of_subsidiaries">'General Information'!$C$333</definedName>
    <definedName name="template_b10_workforce_remuneration_collective_bargaining_and_training">'Social Disclosures'!$C$146</definedName>
    <definedName name="template_b11_convictions_and_fines_for_corruption_and_bribery">'Governance Disclosures'!$C$2</definedName>
    <definedName name="template_b2_cooperative_specific_disclosures">'General Information'!$C$558</definedName>
    <definedName name="template_b2_practices_policies_and_future_initiatives_for_transitioning_towards_a_more_sustainable_economy">'General Information'!$C$551</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Disclosures'!$C$289</definedName>
    <definedName name="template_b5_sites_in_biodiversity_sensitive_areas">'Environmental Disclosures'!$C$181</definedName>
    <definedName name="template_b6_water_consumption">'Environmental Disclosures'!$C$306</definedName>
    <definedName name="template_b6_water_withdrawal">'Environmental Disclosures'!$C$300</definedName>
    <definedName name="template_b7_annual_mass_flow_of_relevant_materials_used">'Environmental Disclosures'!$C$430</definedName>
    <definedName name="template_b7_description_of_circular_economy_principles">'Environmental Disclosures'!$C$313</definedName>
    <definedName name="template_b7_waste_generated">'Environmental Disclosures'!$C$319</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Disclosures'!$C$131</definedName>
    <definedName name="template_b8_workforce_general_characteristics_type_of_contract">'Social Disclosures'!$C$6</definedName>
    <definedName name="template_b9_workforce_health_and_safety">'Social Disclosures'!$C$139</definedName>
    <definedName name="template_c1_strategy_business_model_and_sustainability">'General Information'!$C$570</definedName>
    <definedName name="template_c2_description_of_practices_policies_and_future_initiatives_for_transitioning_towards_a_more_sustainable_economy">'General Information'!$C$564</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Disclosures'!$C$538</definedName>
    <definedName name="template_c5_additional_general_workforce_characteristics">'Social Disclosures'!$C$164</definedName>
    <definedName name="template_c6_additional_own_workforce_information_human_rights_policies_and_processes">'Social Disclosures'!$C$171</definedName>
    <definedName name="template_c7_severe_negative_human_rights_incidents">'Social Disclosures'!$C$183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urrency">'General Information'!$D$5</definedName>
    <definedName name="template_disclosure_of_any_other_environmental_and_or_entity_specific_enviromental_disclosures">'Environmental Disclosures'!$C$546</definedName>
    <definedName name="template_disclosure_of_any_other_general_and_or_entity_specific_information_on_the_reporting_period">'General Information'!$C$579</definedName>
    <definedName name="template_disclosure_of_any_other_governance_and_or_entity_specific_governance_disclosures">'Governance Disclosures'!$C$36</definedName>
    <definedName name="template_disclosure_of_any_other_social_and_or_entity_specific_social_disclosures">'Social Disclosures'!$C$198</definedName>
    <definedName name="template_ending_date_display">'Technical Sheet'!$B$3</definedName>
    <definedName name="template_FUEL_CONVERTER">'Fuel Converter'!$A$1</definedName>
    <definedName name="template_further_notes">'Fuel Converter'!$A$36</definedName>
    <definedName name="template_information_on_previous_reporting_period">'General Information'!$C$16</definedName>
    <definedName name="template_information_on_the_report_necessary_for_XBRL">'General Information'!$C$2</definedName>
    <definedName name="template_label_0_provide_information_that_is_mandatory_in_order_to_generate_the_vsme_and_xbrl_report">Translations!$B$26</definedName>
    <definedName name="template_label_1_fill_in_the_disclosures_on_the_four_worksheets">Translations!$B$27</definedName>
    <definedName name="template_label_1_in_cell_a9_select_the_fuel_used_searching_for_it_or_scrolling_down_the_list_displayed_clicking_the_cell">Translations!$B$420</definedName>
    <definedName name="template_label_1_in_the_cell_b5_of_the_table_related_to_the_unit_of_measurement_of_mass_converter">Translations!$B$453</definedName>
    <definedName name="template_label_1_percent_or_more_of_their_revenues_from_exploration_mining_extraction_distribution_or_refining_of_hard_coal_and_lignite">Translations!$B$396</definedName>
    <definedName name="template_label_1_purchased_goods_and_services">Translations!$B$223</definedName>
    <definedName name="template_label_10_further_notes_can_be_found_below">Translations!$B$429</definedName>
    <definedName name="template_label_10_percent_or_more_of_their_revenues_from_the_exploration_extraction_distribution_or_refining_of_oil_fuels">Translations!$B$397</definedName>
    <definedName name="template_label_10_processing_of_sold_products">Translations!$B$232</definedName>
    <definedName name="template_label_11_use_of_sold_products">Translations!$B$233</definedName>
    <definedName name="template_label_12_end_of_life_treatment_of_sold_products">Translations!$B$234</definedName>
    <definedName name="template_label_13_downstream_leased_assets">Translations!$B$235</definedName>
    <definedName name="template_label_14_franchises">Translations!$B$236</definedName>
    <definedName name="template_label_15_investments">Translations!$B$237</definedName>
    <definedName name="template_label_2_capital_goods">Translations!$B$224</definedName>
    <definedName name="template_label_2_find_more_information_on_the_actual_disclosure_requirements_in_the_vsme_standard">Translations!$B$28</definedName>
    <definedName name="template_label_2_in_cell_b9_select_the_unit_of_measurement_used">Translations!$B$421</definedName>
    <definedName name="template_label_2_then_in_the_cell_b6_the_amount_of_mass_can_be_inserted">Translations!$B$454</definedName>
    <definedName name="template_label_3_finally_in_the_cell_d5_there_should_be_the_unit_of_measurement_of_interest">Translations!$B$455</definedName>
    <definedName name="template_label_3_for_open_tables_like_the_list_of_subsidizers_sites_please_expand_the_groups_by_clicking_the_plus">Translations!$B$29</definedName>
    <definedName name="template_label_3_fuel__and_energy_related_activities">Translations!$B$225</definedName>
    <definedName name="template_label_3_in_cell_c9_select_the_amount_of_fuel_used">Translations!$B$422</definedName>
    <definedName name="template_label_4_in_cell_d9_it_is_displayed_the_state_of_matter_for_the_fuel_selected">Translations!$B$423</definedName>
    <definedName name="template_label_4_the_outcome_of_the_conversion_will_be_displayed_in_the_cell_d6">Translations!$B$456</definedName>
    <definedName name="template_label_4_upstream_transportation_and_distribution">Translations!$B$226</definedName>
    <definedName name="template_label_4_validate_the_data_entered_by_checking_the_validation_status">Translations!$B$30</definedName>
    <definedName name="template_label_5_convert_this_template_to_an_inline_xbrl_report">Translations!$B$31</definedName>
    <definedName name="template_label_5_in_cell_e9_it_is_displayed_the_typical_renewability_state_for_the_fuel_selected">Translations!$B$424</definedName>
    <definedName name="template_label_5_waste_generated_in_operations">Translations!$B$227</definedName>
    <definedName name="template_label_50_percent_or_more_of_their_revenues_from_electricity_generation">Translations!$B$399</definedName>
    <definedName name="template_label_50_percent_or_more_of_their_revenues_from_the_exploration_extraction_manufacturing_or_distribution_of_gaseous_fuels">Translations!$B$398</definedName>
    <definedName name="template_label_6_business_travel">Translations!$B$228</definedName>
    <definedName name="template_label_6_in_cell_f9_is_displayed_the_energy_produced_in_mega_watt_hours_by_the_amount_of_fuel_specified">Translations!$B$425</definedName>
    <definedName name="template_label_6_the_undertaking_may_also_upload_the_report_to_public_repositories_or_a_webpage">Translations!$B$32</definedName>
    <definedName name="template_label_7_employee_commuting">Translations!$B$229</definedName>
    <definedName name="template_label_7_in_cell_a28_is_displayed_the_total_energy_in_mega_watt_hours">Translations!$B$426</definedName>
    <definedName name="template_label_8_in_cell_a31_is_displayed_the_total_renewable_energy_in_mega_watt_hours">Translations!$B$427</definedName>
    <definedName name="template_label_8_upstream_leased_assets">Translations!$B$230</definedName>
    <definedName name="template_label_9_downstream_transportation_and_distribution">Translations!$B$231</definedName>
    <definedName name="template_label_9_in_cell_b31_is_displayed_the_total_nonrenewable_energy_in_mega_watt_hours">Translations!$B$428</definedName>
    <definedName name="template_label_accident_prevention">Translations!$B$368</definedName>
    <definedName name="template_label_additional_disclosures_validation">Translations!$B$109</definedName>
    <definedName name="template_label_additional_rows_warning">Translations!$B$480</definedName>
    <definedName name="template_label_additionally_users_are_encouraged_to_determine_the_renewability_status_of_each_fuel_based_on_guarantees_of_origin">Translations!$B$412</definedName>
    <definedName name="template_label_address">Translations!$B$163</definedName>
    <definedName name="template_label_affected_communities">Translations!$B$181</definedName>
    <definedName name="template_label_always_to_be_reported">Translations!$B$119</definedName>
    <definedName name="template_label_always_to_be_reported_if_applicable">Translations!$B$123</definedName>
    <definedName name="template_label_amount">Translations!$B$415</definedName>
    <definedName name="template_label_amount_in">Translations!$B$125</definedName>
    <definedName name="template_label_amount_of_water_withdrawn_at_sites_located_in_areas_of_high_water_stress">Translations!$B$282</definedName>
    <definedName name="template_label_annual_mass_flow_of_relevant_materials_used_validation">Translations!$B$83</definedName>
    <definedName name="template_label_area">Translations!$B$275</definedName>
    <definedName name="template_label_area_hectares_or_m2">Translations!$B$270</definedName>
    <definedName name="template_label_at">Translations!$B$118</definedName>
    <definedName name="template_label_automatic_geolocation">Translations!$B$168</definedName>
    <definedName name="template_label_average_gross_hourly_pay_level_of_female_employees">Translations!$B$349</definedName>
    <definedName name="template_label_average_gross_hourly_pay_level_of_male_employees">Translations!$B$348</definedName>
    <definedName name="template_label_average_number_of_annual_training_hours_per_employee">Translations!$B$354</definedName>
    <definedName name="template_label_b1_basis_for_preparation_and_other_undertakings_general_information">Translations!$B$142</definedName>
    <definedName name="template_label_b1_basis_for_preparation_validation">Translations!$B$59</definedName>
    <definedName name="template_label_b1_disclosure_of_sustainability_related_certification_or_label">Translations!$B$159</definedName>
    <definedName name="template_label_b1_list_of_site">Translations!$B$162</definedName>
    <definedName name="template_label_b1_list_of_subsidiaries">Translations!$B$155</definedName>
    <definedName name="template_label_b10_workforce_remuneration_collective_bargaining_and_training">Translations!$B$346</definedName>
    <definedName name="template_label_b10_workforce_remuneration_collective_bargaining_and_training_validation">Translations!$B$91</definedName>
    <definedName name="template_label_b11_convictions_and_fines_for_corruption_and_bribery">Translations!$B$380</definedName>
    <definedName name="template_label_b11_convictions_and_fines_for_corruption_and_bribery_validation">Translations!$B$93</definedName>
    <definedName name="template_label_b2_cooperative_specific_disclosures">Translations!$B$184</definedName>
    <definedName name="template_label_b2_practices_policies_and_future_initiatives_for_transitioning_towards_a_more_sustainable_economy">Translations!$B$169</definedName>
    <definedName name="template_label_b2_practices_policies_and_future_initiatives_for_transitioning_towards_a_more_sustainable_economy_validation">Translations!$B$64</definedName>
    <definedName name="template_label_b3_breakdown_of_energy_consumption">Translations!$B$201</definedName>
    <definedName name="template_label_b3_energy_and_greenhouse_gas_emissions_validation">Translations!$B$68</definedName>
    <definedName name="template_label_b3_estimated_greenhouse_gas_emissions">Translations!$B$209</definedName>
    <definedName name="template_label_b3_greenhouse_gas_emission_intensity_per_turnover">Translations!$B$250</definedName>
    <definedName name="template_label_b3_total_energy_consumption">Translations!$B$199</definedName>
    <definedName name="template_label_b4_pollution_of_air_water_and_soil">Translations!$B$255</definedName>
    <definedName name="template_label_b4_pollution_of_air_water_and_soil_validation">Translations!$B$73</definedName>
    <definedName name="template_label_b5_biodiversity_land_use">Translations!$B$273</definedName>
    <definedName name="template_label_b5_biodiversity_validation">Translations!$B$74</definedName>
    <definedName name="template_label_b5_sites_in_biodiversity_sensitive_areas">Translations!$B$265</definedName>
    <definedName name="template_label_b6_water_consumption">Translations!$B$283</definedName>
    <definedName name="template_label_b6_water_validation">Translations!$B$77</definedName>
    <definedName name="template_label_b6_water_withdrawal">Translations!$B$280</definedName>
    <definedName name="template_label_b7_annual_mass_flow_of_relevant_materials_used">Translations!$B$304</definedName>
    <definedName name="template_label_b7_description_of_circular_economy_principles">Translations!$B$287</definedName>
    <definedName name="template_label_b7_resource_use_circular_economy_and_waste_management_validation">Translations!$B$80</definedName>
    <definedName name="template_label_b7_waste_generated">Translations!$B$290</definedName>
    <definedName name="template_label_b8_workforce_general_characteristics_country_of_employment">Translations!$B$332</definedName>
    <definedName name="template_label_b8_workforce_general_characteristics_gender">Translations!$B$326</definedName>
    <definedName name="template_label_b8_workforce_general_characteristics_turnover_rate">Translations!$B$335</definedName>
    <definedName name="template_label_b8_workforce_general_characteristics_type_of_contract">Translations!$B$321</definedName>
    <definedName name="template_label_b8_workforce_general_characteristics_validation">Translations!$B$85</definedName>
    <definedName name="template_label_b9_workforce_health_and_safety">Translations!$B$340</definedName>
    <definedName name="template_label_b9_workforce_health_and_safety_validation">Translations!$B$90</definedName>
    <definedName name="template_label_base_year">Translations!$B$213</definedName>
    <definedName name="template_label_basic_module">Translations!$B$36</definedName>
    <definedName name="template_label_basic_module_validation">Translations!$B$58</definedName>
    <definedName name="template_label_basis_for_preparation">Translations!$B$143</definedName>
    <definedName name="template_label_basis_for_preparation_and_other_undertakings_general_information_validation">Translations!$B$60</definedName>
    <definedName name="template_label_basis_for_reporting">Translations!$B$145</definedName>
    <definedName name="template_label_below_are_specified_all_the_units_of_measurement_conversions_of_each_table">Translations!$B$458</definedName>
    <definedName name="template_label_biodiversity_and_ecosystems">Translations!$B$177</definedName>
    <definedName name="template_label_biodiversity_land_use_validation">Translations!$B$76</definedName>
    <definedName name="template_label_breakdown_of_energy_consumption_in_mwh_validation">Translations!$B$70</definedName>
    <definedName name="template_label_business_conduct">Translations!$B$183</definedName>
    <definedName name="template_label_c1_strategy_business_model_and_sustainability_related_initiatives">Translations!$B$192</definedName>
    <definedName name="template_label_c1_strategy_business_model_and_sustainability_related_initiatives_validation">Translations!$B$95</definedName>
    <definedName name="template_label_c2_description_of_practices_policies_and_future_initiatives_for_transitioning_towards_a_more_sustainable_economy">Translations!$B$188</definedName>
    <definedName name="template_label_c2_description_of_practices_policies_and_future_initiatives_for_transitioning_towards_a_more_sustainable_economy_validation">Translations!$B$96</definedName>
    <definedName name="template_label_c3_disclosure_of_list_of_main_actions_the_entity_seeks_in_order_to_achieve_its_targets">Translations!$B$241</definedName>
    <definedName name="template_label_c3_ghg_reduction_targets">Translations!$B$210</definedName>
    <definedName name="template_label_c3_ghg_reduction_targets_and_climate_transition_validation">Translations!$B$97</definedName>
    <definedName name="template_label_c3_transition_plan_for_undertakings_operating_in_high_climate_impact_sectors">Translations!$B$242</definedName>
    <definedName name="template_label_c4_climate_risks">Translations!$B$311</definedName>
    <definedName name="template_label_c4_climate_risks_validation">Translations!$B$101</definedName>
    <definedName name="template_label_c5_additional_general_workforce_characteristics_validation">Translations!$B$102</definedName>
    <definedName name="template_label_c5_additional_workforce_characteristics">Translations!$B$355</definedName>
    <definedName name="template_label_c6_additional_own_workforce_information_human_rights_policies_and_processes">Translations!$B$361</definedName>
    <definedName name="template_label_c6_additional_own_workforce_information_human_rights_policies_and_processes_validation">Translations!$B$103</definedName>
    <definedName name="template_label_c7_severe_negative_human_rights_incidents">Translations!$B$372</definedName>
    <definedName name="template_label_c7_severe_negative_human_rights_incidents_validation">Translations!$B$104</definedName>
    <definedName name="template_label_c8_exclusion_from_eu_reference_benchmarks">Translations!$B$394</definedName>
    <definedName name="template_label_c8_revenues_from_certain_sectors">Translations!$B$384</definedName>
    <definedName name="template_label_c8_revenues_from_certain_sectors_and_exclusion_from_eu_reference_benchmarks_validation">Translations!$B$105</definedName>
    <definedName name="template_label_c9_gender_diversity_ratio_in_the_governance_body">Translations!$B$402</definedName>
    <definedName name="template_label_c9_gender_diversity_ratio_in_the_governance_body_validation">Translations!$B$108</definedName>
    <definedName name="template_label_calculated_energy_in_mwh">Translations!$B$418</definedName>
    <definedName name="template_label_cell_background_color_index">Translations!$B$33</definedName>
    <definedName name="template_label_child_labour">Translations!$B$364</definedName>
    <definedName name="template_label_circular_economy">Translations!$B$178</definedName>
    <definedName name="template_label_city">Translations!$B$165</definedName>
    <definedName name="template_label_climate_change">Translations!$B$174</definedName>
    <definedName name="template_label_complete">Translations!$B$465</definedName>
    <definedName name="template_label_comprehensive_module">Translations!$B$38</definedName>
    <definedName name="template_label_comprehensive_module_validation">Translations!$B$94</definedName>
    <definedName name="template_label_consumers_and_endusers_validation">Translations!$B$182</definedName>
    <definedName name="template_label_contents_grouping_follows_templates_framework">Translations!$B$53</definedName>
    <definedName name="template_label_cooperative_specific_disclosures_validation">Translations!$B$66</definedName>
    <definedName name="template_label_country">Translations!$B$166</definedName>
    <definedName name="template_label_country_of_employment_contract">Translations!$B$333</definedName>
    <definedName name="template_label_country_of_employment_validation">Translations!$B$88</definedName>
    <definedName name="template_label_country_of_primary_operations_and_location_of_significant_asset">Translations!$B$154</definedName>
    <definedName name="template_label_cubic_meters">Translations!$B$301</definedName>
    <definedName name="template_label_currency_of_the_monetary_values_in_the_report">Translations!$B$129</definedName>
    <definedName name="template_label_current_reporting_period">Translations!$B$212</definedName>
    <definedName name="template_label_date_of_foreseen_adoption_of_transition_plan_for_undertaking_not_having_adopted_transition_plan_yet">Translations!$B$246</definedName>
    <definedName name="template_label_date_warning">Translations!$B$479</definedName>
    <definedName name="template_label_day">Translations!$B$249</definedName>
    <definedName name="template_label_decimal_separator_document_information">Translations!$B$8</definedName>
    <definedName name="template_label_description_of_a_practice_policy_and_or_future_initiative_towards_a_more_sustainable_future">Translations!$B$189</definedName>
    <definedName name="template_label_description_of_a_transition_plan_for_climate_change_mitigation">Translations!$B$245</definedName>
    <definedName name="template_label_description_of_actions_taken_to_address_the_confirmed_incidents">Translations!$B$376</definedName>
    <definedName name="template_label_description_of_circular_economy_principles_validation">Translations!$B$81</definedName>
    <definedName name="template_label_description_of_climate_related_hazards_and_climate_related_transition_events">Translations!$B$313</definedName>
    <definedName name="template_label_description_of_how_it_applies_these_principles">Translations!$B$289</definedName>
    <definedName name="template_label_description_of_main_business_relationships">Translations!$B$195</definedName>
    <definedName name="template_label_description_of_significant_groups_of_products_and_or_services_offered">Translations!$B$193</definedName>
    <definedName name="template_label_description_of_significant_market_the_undertaking_operates_in">Translations!$B$194</definedName>
    <definedName name="template_label_description_of_sustainability_related_certification_or_label">Translations!$B$161</definedName>
    <definedName name="template_label_description_of_target_related_to_a_policy">Translations!$B$190</definedName>
    <definedName name="template_label_description_of_those_key_elements_in_the_strategy_that_relate_or_affect_sustainability_issues">Translations!$B$197</definedName>
    <definedName name="template_label_disclaimer">Translations!$B$409</definedName>
    <definedName name="template_label_disclosure_of_any_other_environmental_and_or_entity_specific_environmental_disclosures">Translations!$B$318</definedName>
    <definedName name="template_label_disclosure_of_any_other_environmental_and_or_entity_specific_environmental_disclosures_validation">Translations!$B$111</definedName>
    <definedName name="template_label_disclosure_of_any_other_general_and_or_entity_specific_information_on_the_reporting_period">Translations!$B$198</definedName>
    <definedName name="template_label_disclosure_of_any_other_general_and_or_entity_specific_information_on_the_reporting_period_validation">Translations!$B$110</definedName>
    <definedName name="template_label_disclosure_of_any_other_governance_and_or_entity_specific_governance_disclosures">Translations!$B$407</definedName>
    <definedName name="template_label_disclosure_of_any_other_governance_and_or_entity_specific_governance_disclosures_validation">Translations!$B$113</definedName>
    <definedName name="template_label_disclosure_of_any_other_social_and_or_entity_specific_social_disclosures">Translations!$B$379</definedName>
    <definedName name="template_label_disclosure_of_any_other_social_and_or_entity_specific_social_disclosures_validation">Translations!$B$112</definedName>
    <definedName name="template_label_disclosure_of_how_it_has_assessed_the_exposure_and_sensitivity_of_its_assets">Translations!$B$314</definedName>
    <definedName name="template_label_disclosure_of_list_of_main_actions_the_entity_seeks_in_order_to_achieve_its_targets_validation">Translations!$B$99</definedName>
    <definedName name="template_label_disclosure_of_sustainability_related_certifications_or_labels_validation">Translations!$B$62</definedName>
    <definedName name="template_label_disclosure_of_whether_it_has_undertaken_climate_change_adaptation_actions">Translations!$B$316</definedName>
    <definedName name="template_label_disclosures_for_which_no_changes_are_reported_compared_to_the_previous_period_reporting">Translations!$B$140</definedName>
    <definedName name="template_label_disclosures_from_the_previous_reporting_period_that_remain_unchanged">Translations!$B$139</definedName>
    <definedName name="template_label_disclosures_related_to_reporting_period">Translations!$B$11</definedName>
    <definedName name="template_label_discrimination">Translations!$B$367</definedName>
    <definedName name="template_label_does_the_undertaking_have_a_code_of_conduct_or_human_rights_policy_for_its_own_workforce">Translations!$B$362</definedName>
    <definedName name="template_label_does_the_undertaking_have_a_complaint_handling_mechanism_for_its_own_workforce">Translations!$B$371</definedName>
    <definedName name="template_label_does_the_undertaking_have_a_governance_body_in_place">Translations!$B$403</definedName>
    <definedName name="template_label_does_the_undertaking_have_confirmed_incidents_in_its_own_workforce">Translations!$B$373</definedName>
    <definedName name="template_label_does_the_undertaking_have_production_processes_in_place_which_significantly_consume_water">Translations!$B$284</definedName>
    <definedName name="template_label_does_the_undertaking_have_sites_that_are_located_in_or_near_biodiversity_sensitive_areas">Translations!$B$266</definedName>
    <definedName name="template_label_does_the_undertaking_operate_in_a_sector_using_significant_material_flows">Translations!$B$305</definedName>
    <definedName name="template_label_each_expanded_fuel_converter_works_exactly_as_explained_above">Translations!#REF!</definedName>
    <definedName name="template_label_effective_participation_of_workers_users_or_other_interested_parties_or_communities_in_governance">Translations!$B$185</definedName>
    <definedName name="template_label_efrag_is_funded_by_the_european_union_through_the_single_market_programme">Translations!$B$49</definedName>
    <definedName name="template_label_electricity">Translations!$B$206</definedName>
    <definedName name="template_label_emission_to_air">Translations!$B$262</definedName>
    <definedName name="template_label_emission_to_soil">Translations!$B$264</definedName>
    <definedName name="template_label_emission_to_water">Translations!$B$263</definedName>
    <definedName name="template_label_employee_counting_methodology_end_of_reporting_period_or_average_during_the_reporting_period">Translations!$B$152</definedName>
    <definedName name="template_label_employee_counting_methodology_for_the_disclosures_below_headcount_full_time_equivalent">Translations!$B$319</definedName>
    <definedName name="template_label_employee_counting_methodology_for_the_disclosures_below_period">Translations!$B$320</definedName>
    <definedName name="template_label_employee_counting_methodology_headcount_or_fulltime_equivalent">Translations!$B$153</definedName>
    <definedName name="template_label_employee_turnover_rate_in_the_reporting_period">Translations!$B$339</definedName>
    <definedName name="template_label_employees_receive_pay_that_is_equal_or_above_applicable_minimum_wage">Translations!$B$347</definedName>
    <definedName name="template_label_ending_day">Translations!$B$136</definedName>
    <definedName name="template_label_ending_month">Translations!$B$135</definedName>
    <definedName name="template_label_ending_year">Translations!$B$134</definedName>
    <definedName name="template_label_energy_consumption_per_hour_in_mwh_for_gaseous_fuels">Translations!$B$441</definedName>
    <definedName name="template_label_energy_consumption_per_hour_in_mwh_for_liquid_fuels">Translations!$B$438</definedName>
    <definedName name="template_label_energy_consumption_per_hour_in_mwh_for_solid_fuels">Translations!$B$436</definedName>
    <definedName name="template_label_energy_consumption_warning">Translations!$B$484</definedName>
    <definedName name="template_label_energy_gaseous_fuels">Translations!$B$443</definedName>
    <definedName name="template_label_energy_liquid_fuels">Translations!$B$440</definedName>
    <definedName name="template_label_energy_solid_fuels">Translations!$B$437</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Translations!$B$67</definedName>
    <definedName name="template_label_error">Translations!$B$467</definedName>
    <definedName name="template_label_error_plus_missing_value">Translations!$B$471</definedName>
    <definedName name="template_label_error_plus_missing_value_plus_value_inconsistency">Translations!$B$470</definedName>
    <definedName name="template_label_error_plus_value_inconsistency">Translations!$B$469</definedName>
    <definedName name="template_label_estimated_greenhouse_gas_emissions_considering_the_ghg_protocol_version_2004_in_tco2e_validation">Translations!$B$71</definedName>
    <definedName name="template_label_exclusion_from_eu_reference_benchmarks_validation">Translations!$B$107</definedName>
    <definedName name="template_label_female">Translations!$B$329</definedName>
    <definedName name="template_label_female_to_male_ratio_at_management_level_for_the_reporting_period">Translations!$B$358</definedName>
    <definedName name="template_label_financial_investment_in_the_capital_or_assets_of_social_economy_entities">Translations!$B$186</definedName>
    <definedName name="template_label_forced_labour">Translations!$B$365</definedName>
    <definedName name="template_label_from">Translations!$B$116</definedName>
    <definedName name="template_label_from_capital_case">Translations!$B$445</definedName>
    <definedName name="template_label_fuel_converter">Translations!$B$408</definedName>
    <definedName name="template_label_fuel_type">Translations!$B$414</definedName>
    <definedName name="template_label_fuels">Translations!$B$208</definedName>
    <definedName name="template_label_further_notes">Translations!$B$434</definedName>
    <definedName name="template_label_gaseous_warning">Translations!$B$477</definedName>
    <definedName name="template_label_gender">Translations!$B$327</definedName>
    <definedName name="template_label_gender_diversity_ratio_in_governance_body">Translations!$B$406</definedName>
    <definedName name="template_label_gender_validation">Translations!$B$87</definedName>
    <definedName name="template_label_general_information_validation">Translations!$B$55</definedName>
    <definedName name="template_label_general_principles">Translations!$B$34</definedName>
    <definedName name="template_label_geolocalisation_warning">Translations!$B$483</definedName>
    <definedName name="template_label_GHG_calculator">Translations!$B$490</definedName>
    <definedName name="template_label_ghg_reduction_targets_in_tc02e_validation">Translations!$B$98</definedName>
    <definedName name="template_label_governance_disclosures_validation">Translations!$B$92</definedName>
    <definedName name="template_label_gps_coordinates">Translations!$B$167</definedName>
    <definedName name="template_label_greenhouse_gas_emission_intensity_per_turnover_validation">Translations!$B$72</definedName>
    <definedName name="template_label_gross_scope_1_ghg_emissions">Translations!$B$217</definedName>
    <definedName name="template_label_gross_scope_2_location_based_ghg_emissions">Translations!$B$218</definedName>
    <definedName name="template_label_gross_scope_2_market_based_ghg_emissions">Translations!$B$219</definedName>
    <definedName name="template_label_has_the_strategy_key_elements_that_relate_to_or_affect_sustainability_issues">Translations!$B$196</definedName>
    <definedName name="template_label_has_the_undertaking_has_established_ghg_emission_reduction_targets">Translations!$B$211</definedName>
    <definedName name="template_label_has_the_undertaking_identified_climate_related_hazards_and_climate_related_transition_events">Translations!$B$312</definedName>
    <definedName name="template_label_has_the_undertaking_incurred_in_convictions_and_fines_in_the_reporting_period">Translations!$B$381</definedName>
    <definedName name="template_label_has_the_undertaking_obtained_any_sustainability_related_certification_or_label">Translations!$B$160</definedName>
    <definedName name="template_label_has_the_undertaking_obtained_the_necessary_information_to_provide_an_energy_consumption_breakdown">Translations!$B$202</definedName>
    <definedName name="template_label_has_the_undertaking_put_in_place_specific_practices_policies_and_or_future">Translations!$B$170</definedName>
    <definedName name="template_label_health_and_safety_formula_warning">Translations!$B$489</definedName>
    <definedName name="template_label_how_to_use_it">Translations!$B$25</definedName>
    <definedName name="template_label_human_trafficking">Translations!$B$366</definedName>
    <definedName name="template_label_id">Translations!$B$156</definedName>
    <definedName name="template_label_identifier_of_the_reporting_entity">Translations!$B$128</definedName>
    <definedName name="template_label_identifier_warning">Translations!$B$478</definedName>
    <definedName name="template_label_if_applicable">Translations!$B$120</definedName>
    <definedName name="template_label_if_applicable_linked_to_b2">Translations!$B$124</definedName>
    <definedName name="template_label_if_yes_are_incidents_related_to">Translations!$B$374</definedName>
    <definedName name="template_label_if_yes_does_this_cover">Translations!$B$363</definedName>
    <definedName name="template_label_incomplete">Translations!$B$464</definedName>
    <definedName name="template_label_indicates_that_data_entry_is_ok_and_the_undertaking_can_proceed_to_the_next_disclosure">Translations!$B$46</definedName>
    <definedName name="template_label_indicates_that_either_data_entry_is_incorrect_in_terms_of_format_or_that_certain_information">Translations!$B$44</definedName>
    <definedName name="template_label_indicates_that_no_data_entry_is_required_unless_certain_logics_are_selected_in_the_disclosure_itself">Translations!$B$42</definedName>
    <definedName name="template_label_indicates_that_the_cell_is_automatically_calculated_and_that_no_data_entry_is_required">Translations!$B$40</definedName>
    <definedName name="template_label_indicates_that_the_cell_should_be_filled_either_by_selecting_a_value_from_the_dropdown">Translations!$B$413</definedName>
    <definedName name="template_label_indicates_that_the_datapoint_often_a_condition_will_not_be_included_in_the_vsme_and_digital_xbrl_report">Translations!$B$41</definedName>
    <definedName name="template_label_indicates_that_the_disclosure_is_from_the_general_principles_of_the_vsme">Translations!$B$35</definedName>
    <definedName name="template_label_indicates_that_the_disclosure_is_from_the_vsme_basic_module">Translations!$B$37</definedName>
    <definedName name="template_label_indicates_that_the_disclosure_is_from_the_vsme_comprehensive_module">Translations!$B$39</definedName>
    <definedName name="template_label_information_on_previous_reporting_period">Translations!$B$138</definedName>
    <definedName name="template_label_information_on_previous_reporting_period_validation">Translations!$B$57</definedName>
    <definedName name="template_label_information_on_the_report_necessary_for_xbrl">Translations!$B$126</definedName>
    <definedName name="template_label_information_on_the_report_necessary_for_xbrl_validation">Translations!$B$56</definedName>
    <definedName name="template_label_invalid_url">Translations!$B$473</definedName>
    <definedName name="template_label_is_the_undertaking_aware_of_any_confirmed_incidents_involving_workers">Translations!$B$377</definedName>
    <definedName name="template_label_is_the_undertaking_deriving_revenues_from_one_of_the_activities_listed_below">Translations!$B$385</definedName>
    <definedName name="template_label_is_the_undertaking_disclosing_entity_specific_information_on_scope_3_emissions">Translations!$B$222</definedName>
    <definedName name="template_label_is_the_undertaking_operating_in_high_impact_sectors">Translations!$B$243</definedName>
    <definedName name="template_label_is_this_disclosure_already_publicly_available">Translations!$B$257</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Translations!$B$309</definedName>
    <definedName name="template_label_land_use_type">Translations!$B$274</definedName>
    <definedName name="template_label_limits_to_the_distribution_of_profits">Translations!$B$187</definedName>
    <definedName name="template_label_link_to_previous_report_containing_disclosures_that_remain_unchanged">Translations!$B$141</definedName>
    <definedName name="template_label_liquid_warning">Translations!$B$475</definedName>
    <definedName name="template_label_list_of_omitted_disclosures_deemed_to_be_classified_or_sensitive_information">Translations!$B$144</definedName>
    <definedName name="template_label_list_of_sites_validation">Translations!$B$63</definedName>
    <definedName name="template_label_list_of_subsidiaries_validation">Translations!$B$61</definedName>
    <definedName name="template_label_lists_can_be_expanded_using_the_plus_button_on_the_left">Translations!$B$48</definedName>
    <definedName name="template_label_main_title_of_report_text">Translations!$B$20</definedName>
    <definedName name="template_label_male">Translations!$B$328</definedName>
    <definedName name="template_label_mass_gaseous_fuels">Translations!$B$442</definedName>
    <definedName name="template_label_mass_liquid_fuels">Translations!$B$439</definedName>
    <definedName name="template_label_mass_volume">Translations!$B$307</definedName>
    <definedName name="template_label_may">Translations!$B$121</definedName>
    <definedName name="template_label_may_not_headline">Translations!$B$122</definedName>
    <definedName name="template_label_missing_value">Translations!$B$466</definedName>
    <definedName name="template_label_missing_value_plus_value_inconsistency">Translations!$B$472</definedName>
    <definedName name="template_label_monetary_amount_in">Translations!$B$386</definedName>
    <definedName name="template_label_month">Translations!$B$248</definedName>
    <definedName name="template_label_most_senior_level_accountable_for_implementing_practices_policies_and_or_future_initiatives">Translations!$B$191</definedName>
    <definedName name="template_label_nace_sector_classification_code">Translations!$B$148</definedName>
    <definedName name="template_label_NACE_warning">Translations!$B$482</definedName>
    <definedName name="template_label_name">Translations!$B$157</definedName>
    <definedName name="template_label_name_of_the_key_material">Translations!$B$306</definedName>
    <definedName name="template_label_name_of_the_reporting_entity">Translations!$B$127</definedName>
    <definedName name="template_label_no_value_can_be_entered_in_the_cell">Translations!$B$47</definedName>
    <definedName name="template_label_non_renewable">Translations!$B$204</definedName>
    <definedName name="template_label_none_of_the_above">Translations!$B$400</definedName>
    <definedName name="template_label_not_reported">Translations!$B$331</definedName>
    <definedName name="template_label_number_of_annual_training_hours_per_employee_during_the_reporting_period">Translations!$B$353</definedName>
    <definedName name="template_label_number_of_employees">Translations!$B$151</definedName>
    <definedName name="template_label_number_of_employees_at_the_beginning_of_the_reporting_period">Translations!$B$337</definedName>
    <definedName name="template_label_number_of_employees_at_the_end_of_the_reporting_period">Translations!$B$338</definedName>
    <definedName name="template_label_number_of_employees_covered_by_collective_bargaining_agreements">Translations!$B$351</definedName>
    <definedName name="template_label_number_of_employees_warning">Translations!$B$488</definedName>
    <definedName name="template_label_number_of_employees_who_left_during_the_reporting_period">Translations!$B$336</definedName>
    <definedName name="template_label_number_of_fatalities_as_a_result_of_work_related_injuries_and_work_related_ill_health">Translations!$B$345</definedName>
    <definedName name="template_label_number_of_female_board_members_at_the_end_of_the_reporting_period">Translations!$B$404</definedName>
    <definedName name="template_label_number_of_female_employees_at_management_level">Translations!$B$357</definedName>
    <definedName name="template_label_number_of_hours_worked_by_one_fulltime_employee_in_the_reporting_period">Translations!$B$342</definedName>
    <definedName name="template_label_number_of_male_board_members_at_the_end_of_the_reporting_period">Translations!$B$405</definedName>
    <definedName name="template_label_number_of_male_employees_at_management_level">Translations!$B$356</definedName>
    <definedName name="template_label_number_of_recordable_work_related_accidents_in_the_reporting_period">Translations!$B$341</definedName>
    <definedName name="template_label_ok">Translations!$B$474</definedName>
    <definedName name="template_label_other">Translations!$B$330</definedName>
    <definedName name="template_label_other_if_yes_specify">Translations!$B$369</definedName>
    <definedName name="template_label_other_undertakings_legal_form_specification">Translations!$B$147</definedName>
    <definedName name="template_label_other_warning">Translations!$B$481</definedName>
    <definedName name="template_label_overall_validation_status_validation">Translations!$B$51</definedName>
    <definedName name="template_label_own_workforce">Translations!$B$179</definedName>
    <definedName name="template_label_paragraph_guidance_reference">Translations!$B$115</definedName>
    <definedName name="template_label_paragraph_reference">Translations!$B$114</definedName>
    <definedName name="template_label_percentage_gap_in_pay_between_the__undertakings_female_and_male_employees">Translations!$B$350</definedName>
    <definedName name="template_label_percentage_of_employees_covered_by_collective_bargaining_agreements">Translations!$B$352</definedName>
    <definedName name="template_label_percentage_reduction_from_base_year">Translations!$B$215</definedName>
    <definedName name="template_label_permanent_contract">Translations!$B$323</definedName>
    <definedName name="template_label_please_note_that_the_typical_values_for_net_calorific_value_and_density_are_provided_for_each_fuel_type">Translations!$B$411</definedName>
    <definedName name="template_label_please_provide_the_relevant_url_link_or_hyperlink_of_where_this_information_is_reported">Translations!$B$258</definedName>
    <definedName name="template_label_please_select_the_unit_used_for_reporting_the_amount">Translations!$B$259</definedName>
    <definedName name="template_label_please_select_the_unit_used_for_the_area">Translations!$B$267</definedName>
    <definedName name="template_label_pollutant">Translations!$B$261</definedName>
    <definedName name="template_label_pollution">Translations!$B$175</definedName>
    <definedName name="template_label_postal_code">Translations!$B$164</definedName>
    <definedName name="template_label_potential_adverse_effects_of_climate_risks">Translations!$B$317</definedName>
    <definedName name="template_label_practices_policies_and_future_initiatives_for_transitioning_towards_a_more_sustainable_economy_validation">Translations!$B$65</definedName>
    <definedName name="template_label_publication_date">Translations!$B$16</definedName>
    <definedName name="template_label_rate_of_recordable_work_related_accidents_in_the_reporting_period">Translations!$B$344</definedName>
    <definedName name="template_label_registered_address">Translations!$B$158</definedName>
    <definedName name="template_label_related_site_id">Translations!$B$268</definedName>
    <definedName name="template_label_renewable">Translations!$B$203</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Translations!$B$137</definedName>
    <definedName name="template_label_reporting_period_start_date">Translations!$B$133</definedName>
    <definedName name="template_label_reproduction_and_use_rights_are_strictly_limited">Translations!$B$50</definedName>
    <definedName name="template_label_required_by_law_or_other_national_regulations_to_report_to_competent_authorities_its_emissions_of_pollutants">Translations!$B$256</definedName>
    <definedName name="template_label_revenue_derived_from_chemicals_production">Translations!$B$393</definedName>
    <definedName name="template_label_revenue_derived_from_coal">Translations!$B$389</definedName>
    <definedName name="template_label_revenue_derived_from_controversial_weapons">Translations!$B$387</definedName>
    <definedName name="template_label_revenue_derived_from_cultivation_and_production_of_tobacco">Translations!$B$388</definedName>
    <definedName name="template_label_revenue_derived_from_gas">Translations!$B$391</definedName>
    <definedName name="template_label_revenue_derived_from_oil">Translations!$B$390</definedName>
    <definedName name="template_label_revenues_from_certain_sectors_validation">Translations!$B$106</definedName>
    <definedName name="template_label_row_id">Translations!$B$260</definedName>
    <definedName name="template_label_scope_1_and_scope_2_ghg_emissions_intensity_location_based">Translations!$B$251</definedName>
    <definedName name="template_label_scope_1_and_scope_2_ghg_emissions_intensity_market_based">Translations!$B$252</definedName>
    <definedName name="template_label_scope_3_categories_warning">Translations!$B$485</definedName>
    <definedName name="template_label_select_template_display_language">Translations!$B$18</definedName>
    <definedName name="template_label_selfgenerated_electricity">Translations!$B$207</definedName>
    <definedName name="template_label_site_ID_value_inconsistency_warning">Translations!$B$486</definedName>
    <definedName name="template_label_site_located_in_a_biodiversity_sensitive_area">Translations!$B$271</definedName>
    <definedName name="template_label_site_located_near_a_biodiversity_sensitive_area">Translations!$B$272</definedName>
    <definedName name="template_label_site_location_in_near_a_biodiversity_area">Translations!$B$269</definedName>
    <definedName name="template_label_sites_in_biodiversity_sensitive_areas_validation">Translations!$B$75</definedName>
    <definedName name="template_label_size_of_balance_sheet_in">Translations!$B$149</definedName>
    <definedName name="template_label_social_disclosures_validation">Translations!$B$84</definedName>
    <definedName name="template_label_solid_warning">Translations!$B$476</definedName>
    <definedName name="template_label_specific_content_validation_status_validation">Translations!$B$54</definedName>
    <definedName name="template_label_specification_of_any_confirmed_incident_involving_workers">Translations!$B$378</definedName>
    <definedName name="template_label_specify_other_human_rights_related_to_the_confirmed_incidents">Translations!$B$375</definedName>
    <definedName name="template_label_specify_other_types_of_content_covered_by_the_code_of_conduct_or_human_rights_policy">Translations!$B$370</definedName>
    <definedName name="template_label_starting_day">Translations!$B$132</definedName>
    <definedName name="template_label_starting_month">Translations!$B$131</definedName>
    <definedName name="template_label_starting_year">Translations!$B$130</definedName>
    <definedName name="template_label_state_of_matter">Translations!$B$416</definedName>
    <definedName name="template_label_state_of_matter_warning">Translations!#REF!</definedName>
    <definedName name="template_label_status_of_implementation_of_a_transition_plan_in_relation_to_climate_change_mitigation">Translations!$B$244</definedName>
    <definedName name="template_label_steps_to_follow_for_the_mass_table">Translations!$B$452</definedName>
    <definedName name="template_label_subtitle_of_report">Translations!$B$21</definedName>
    <definedName name="template_label_subtitle_of_report_text">Translations!$B$22</definedName>
    <definedName name="template_label_sustainability_issues_addressed_by_a_practice_policy_and_or_future_initiatives_put_in_place">Translations!$B$171</definedName>
    <definedName name="template_label_table_of_contents">Translations!$B$12</definedName>
    <definedName name="template_label_table_of_contents_validation">Translations!$B$52</definedName>
    <definedName name="template_label_target_year">Translations!$B$214</definedName>
    <definedName name="template_label_taxonomy_entry_point">Translations!$B$17</definedName>
    <definedName name="template_label_temporary_contract">Translations!$B$324</definedName>
    <definedName name="template_label_the_converter_offers_the_possibility_of_calculating_simultaneously_up_to_10_different_types_of_fuel">Translations!$B$435</definedName>
    <definedName name="template_label_the_purpose_of_this_digital_template_is_to_illustrate_how_vsme_reporting_can_be_implemented_in_a_digital_template">Translations!$B$24</definedName>
    <definedName name="template_label_the_steps_to_follow_for_the_other_tables">Translations!$B$457</definedName>
    <definedName name="template_label_this_converter_is_intended_solely_to_illustrate_how_energy_consumption_in_mwh">Translations!$B$410</definedName>
    <definedName name="template_label_time_horizons_of_any_climate_related_hazards_and_transition_events_identified">Translations!$B$315</definedName>
    <definedName name="template_label_title_of_report">Translations!$B$19</definedName>
    <definedName name="template_label_to">Translations!$B$117</definedName>
    <definedName name="template_label_total_amount_of_fines_for_the_violation_of_anti_corruption_and_anti_bribery_laws">Translations!$B$383</definedName>
    <definedName name="template_label_total_amount_of_waste_generated">Translations!$B$297</definedName>
    <definedName name="template_label_total_amount_of_water_withdrawn_from_all_sites">Translations!$B$281</definedName>
    <definedName name="template_label_total_annual_mass_flow_of_relevant_materials_used_mass">Translations!$B$308</definedName>
    <definedName name="template_label_total_annual_mass_flow_of_relevant_materials_used_volume">Translations!$B$310</definedName>
    <definedName name="template_label_total_employees">Translations!$B$325</definedName>
    <definedName name="template_label_total_energy">Translations!$B$431</definedName>
    <definedName name="template_label_total_energy_consumption">Translations!$B$200</definedName>
    <definedName name="template_label_total_energy_consumption_in_mwh_validation">Translations!$B$69</definedName>
    <definedName name="template_label_total_hazardous_waste_generated_mass">Translations!$B$296</definedName>
    <definedName name="template_label_total_hazardous_waste_generated_volume">Translations!$B$300</definedName>
    <definedName name="template_label_total_nature_oriented_area_off_site">Translations!$B$278</definedName>
    <definedName name="template_label_total_nature_oriented_area_on_site">Translations!$B$277</definedName>
    <definedName name="template_label_total_non_hazardous_waste_generated_mass">Translations!$B$298</definedName>
    <definedName name="template_label_total_non_hazardous_waste_generated_volume">Translations!$B$302</definedName>
    <definedName name="template_label_total_nonrenewable_energy">Translations!$B$433</definedName>
    <definedName name="template_label_total_number_of_convictions_for_the_violation_of_anti_corruption_and_anti_bribery_laws">Translations!$B$382</definedName>
    <definedName name="template_label_total_number_of_hours_worked_in_a_year_by_all_employees_in_the_reporting_period">Translations!$B$343</definedName>
    <definedName name="template_label_total_renewable_and_nonrenewable">Translations!$B$205</definedName>
    <definedName name="template_label_total_renewable_energy">Translations!$B$432</definedName>
    <definedName name="template_label_total_revenues_derived_from_fossil_fuel_sector">Translations!$B$392</definedName>
    <definedName name="template_label_total_scope_1_and_scope_2_ghg_emissions_location_based">Translations!$B$220</definedName>
    <definedName name="template_label_total_scope_1_and_scope_2_ghg_emissions_market_based">Translations!$B$221</definedName>
    <definedName name="template_label_total_scope_1_scope_2_and_scope_3_ghg_emissions_intensity_location_based">Translations!$B$253</definedName>
    <definedName name="template_label_total_scope_1_scope_2_and_scope_3_ghg_emissions_intensity_market_based">Translations!$B$254</definedName>
    <definedName name="template_label_total_scope_1_scope_2_and_scope_3_ghg_emissions_location_based">Translations!$B$239</definedName>
    <definedName name="template_label_total_scope_1_scope_2_and_scope_3_ghg_emissions_market_based">Translations!$B$240</definedName>
    <definedName name="template_label_total_scope_3_ghg_emissions">Translations!$B$238</definedName>
    <definedName name="template_label_total_sealed_area">Translations!$B$276</definedName>
    <definedName name="template_label_total_self_employed_workers_without_personnel_that_are_working_exclusively_for_the_undertaking">Translations!$B$359</definedName>
    <definedName name="template_label_total_temporary_workers_provided_by_undertakings_primarily_engaged_in_employment_activities">Translations!$B$360</definedName>
    <definedName name="template_label_total_use_of_land">Translations!$B$279</definedName>
    <definedName name="template_label_total_waste_generated_mass">Translations!$B$299</definedName>
    <definedName name="template_label_total_waste_generated_volume">Translations!$B$303</definedName>
    <definedName name="template_label_total_waste_recycled_reused_and_directed_to_disposal">Translations!$B$295</definedName>
    <definedName name="template_label_total_water_consumption">Translations!$B$286</definedName>
    <definedName name="template_label_transfer_the_total_results_to_the_b3_fuel_energy_consumption_reporting_cell">Translations!$B$430</definedName>
    <definedName name="template_label_transition_plan_for_undertakings_operating_in_high_climate_impact_sectors_validation">Translations!$B$100</definedName>
    <definedName name="template_label_turnover_in">Translations!$B$150</definedName>
    <definedName name="template_label_turnover_rate_validation">Translations!$B$89</definedName>
    <definedName name="template_label_type_of_contract">Translations!$B$322</definedName>
    <definedName name="template_label_type_of_contract_validation">Translations!$B$86</definedName>
    <definedName name="template_label_type_of_waste">Translations!$B$291</definedName>
    <definedName name="template_label_type_of_waste_warning">Translations!$B$487</definedName>
    <definedName name="template_label_typical_renewable_state">Translations!$B$417</definedName>
    <definedName name="template_label_undertaking_applies_circular_economy_principles">Translations!$B$288</definedName>
    <definedName name="template_label_undertaking_has_a_practice_policy_and_or_future_initiative_that_is_publicly_available">Translations!$B$172</definedName>
    <definedName name="template_label_undertaking_has_set_a_target_which_is_related_to_a_policy">Translations!$B$173</definedName>
    <definedName name="template_label_undertaking_operating_in_more_than_one_country">Translations!$B$334</definedName>
    <definedName name="template_label_undertakings_are_excluded_from_any_eu_reference_benchmarks_that_are_aligned_with_the_paris_agreement">Translations!$B$401</definedName>
    <definedName name="template_label_undertakings_are_excluded_from_the_eu_paris_aligned_benchmarks_if_they_derive">Translations!$B$395</definedName>
    <definedName name="template_label_undertakings_legal_form">Translations!$B$146</definedName>
    <definedName name="template_label_unit_of_measurement">Translations!$B$292</definedName>
    <definedName name="template_label_unit_of_measurement_converter">Translations!$B$444</definedName>
    <definedName name="template_label_unit_of_measurement_of_density_converter">Translations!$B$450</definedName>
    <definedName name="template_label_unit_of_measurement_of_density_converter_list">Translations!$B$462</definedName>
    <definedName name="template_label_unit_of_measurement_of_energy_consumption_per_hour">Translations!$B$448</definedName>
    <definedName name="template_label_unit_of_measurement_of_energy_converter_list">Translations!$B$461</definedName>
    <definedName name="template_label_unit_of_measurement_of_mass_converter">Translations!$B$446</definedName>
    <definedName name="template_label_unit_of_measurement_of_mass_converter_list">Translations!$B$459</definedName>
    <definedName name="template_label_unit_of_measurement_of_ncv_converter">Translations!$B$449</definedName>
    <definedName name="template_label_unit_of_measurement_of_ncv_converter_list">Translations!$B$463</definedName>
    <definedName name="template_label_unit_of_measurement_of_volume_converter">Translations!$B$447</definedName>
    <definedName name="template_label_unit_of_measurement_of_volume_converter_list">Translations!$B$460</definedName>
    <definedName name="template_label_usage_of_fuel_converter">Translations!$B$419</definedName>
    <definedName name="template_label_usage_of_unit_of_measurement_converter">Translations!$B$451</definedName>
    <definedName name="template_label_validation_missing_value_error_value_inconsistency_invalid_url">Translations!#REF!</definedName>
    <definedName name="template_label_validation_missing_value_error_velue_inconsistency_invalid_url">Translations!$B$43</definedName>
    <definedName name="template_label_validation_ok">Translations!$B$45</definedName>
    <definedName name="template_label_value_inconsistency">Translations!$B$468</definedName>
    <definedName name="template_label_version">Translations!$B$15</definedName>
    <definedName name="template_label_vsme_digital_template">Translations!$B$23</definedName>
    <definedName name="template_label_waste_directed_to_disposal">Translations!$B$294</definedName>
    <definedName name="template_label_waste_diverted_to_recycle_or_reuse">Translations!$B$293</definedName>
    <definedName name="template_label_waste_generated_validation">Translations!$B$82</definedName>
    <definedName name="template_label_water_and_marine_resources">Translations!$B$176</definedName>
    <definedName name="template_label_water_consumption_validation">Translations!$B$79</definedName>
    <definedName name="template_label_water_discharge_from_undertaking_production_processes">Translations!$B$285</definedName>
    <definedName name="template_label_water_withdrawal_validation">Translations!$B$78</definedName>
    <definedName name="template_label_workers_in_the_value_chain">Translations!$B$180</definedName>
    <definedName name="template_label_XBRL_facts_in_report">Translations!$B$14</definedName>
    <definedName name="template_label_year">Translations!$B$247</definedName>
    <definedName name="template_label_year_date">Translations!$B$216</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Introduction!$C$13</definedName>
    <definedName name="template_reporting_template_version">Introduction!$C$1</definedName>
    <definedName name="template_reporting_title">Introduction!$C$12</definedName>
    <definedName name="template_selected_display_language">Introduction!$C$11</definedName>
    <definedName name="template_starting_date_display">'Technical Sheet'!$B$2</definedName>
    <definedName name="template_translations">Translations!$C$3:$K$3</definedName>
    <definedName name="TimeHorizonsOfAnyClimateRelatedHazardsAndTransitionEventsIdentified">'Environmental Disclosures'!$E$542</definedName>
    <definedName name="TotalAmountOfFinesForTheViolationOfAnticorruptionAndAntibriberyLaws">'Governance Disclosures'!$H$7</definedName>
    <definedName name="TotalAmountOfWaterWithdrawnFromAllSites">'Environmental Disclosures'!$D$303</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Disclosures'!$J$423:$L$423</definedName>
    <definedName name="TotalHazardousWasteGeneratedMass_unit">'Environmental Disclosures'!$G$423:$I$423</definedName>
    <definedName name="TotalHazardousWasteGeneratedVolume">'Environmental Disclosures'!$J$426:$L$426</definedName>
    <definedName name="TotalHazardousWasteGeneratedVolume_unit">'Environmental Disclosures'!$G$426:$I$426</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Disclosures'!$G$535</definedName>
    <definedName name="TotalMassOfMaterialUsed_unit">'Environmental Disclosures'!$J$535</definedName>
    <definedName name="TotalNatureOrientedAreaOffSite">'Environmental Disclosures'!$D$297:$F$297</definedName>
    <definedName name="TotalNatureOrientedAreaOffSite_unit">'Environmental Disclosures'!$C$293</definedName>
    <definedName name="TotalNatureOrientedAreaOnSite">'Environmental Disclosures'!$D$296:$F$296</definedName>
    <definedName name="TotalNatureOrientedAreaOnSite_unit">'Environmental Disclosures'!$C$293</definedName>
    <definedName name="TotalNonHazardousWasteGeneratedMass">'Environmental Disclosures'!$J$424:$L$424</definedName>
    <definedName name="TotalNonHazardousWasteGeneratedMass_unit">'Environmental Disclosures'!$G$424:$I$424</definedName>
    <definedName name="TotalNonHazardousWasteGeneratedVolume">'Environmental Disclosures'!$J$427:$L$427</definedName>
    <definedName name="TotalNonHazardousWasteGeneratedVolume_unit">'Environmental Disclosures'!$G$427:$I$427</definedName>
    <definedName name="TotalNumberOfConvictionsForTheViolationOfAntiCorruptionAndAntiBriberyLaws">'Governance Disclosures'!$H$6</definedName>
    <definedName name="TotalNumberOfSelfEmployedWorkersWithoutPersonnelThatAreWorkingExclusivelyForTheUndertaking">'Social Disclosures'!$D$168</definedName>
    <definedName name="TotalNumberOfTemporaryWorkersProvidedByUndertakingsPrimarilyEngagedInEmploymentActivities">'Social Disclosures'!$D$169</definedName>
    <definedName name="TotalRevenuesDerivedFromFossilFuelCoalOilAndGasSector">'Governance Disclosures'!$H$17</definedName>
    <definedName name="TotalSealedArea">'Environmental Disclosures'!$D$295:$F$295</definedName>
    <definedName name="TotalSealedArea_unit">'Environmental Disclosures'!$C$293</definedName>
    <definedName name="TotalUseOfLand">'Environmental Disclosures'!$D$298:$F$298</definedName>
    <definedName name="TotalUseOfLand_unit">'Environmental Disclosures'!$C$293</definedName>
    <definedName name="TotalVolumeOfMaterialUsed">'Environmental Disclosures'!$G$536</definedName>
    <definedName name="TotalVolumeOfMaterialUsed_unit">'Environmental Disclosures'!$J$536</definedName>
    <definedName name="TotalWasteGeneratedMass">'Environmental Disclosures'!$J$425:$L$425</definedName>
    <definedName name="TotalWasteGeneratedMass_unit">'Environmental Disclosures'!$G$425:$I$425</definedName>
    <definedName name="TotalWasteGeneratedVolume">'Environmental Disclosures'!$J$428:$L$428</definedName>
    <definedName name="TotalWasteGeneratedVolume_unit">'Environmental Disclosures'!$G$428:$I$428</definedName>
    <definedName name="TotalWasteRecycledReusedAndDirectedToDisposalMass">'Environmental Disclosures'!$L$323:$L$422</definedName>
    <definedName name="TotalWasteRecycledReusedAndDirectedToDisposalMass_unit">'Environmental Disclosures'!$G$323:$I$422</definedName>
    <definedName name="TotalWasteRecycledReusedAndDirectedToDisposalVolume">'Environmental Disclosures'!$L$323:$L$422</definedName>
    <definedName name="TotalWasteRecycledReusedAndDirectedToDisposalVolume_unit">'Environmental Disclosures'!$G$323:$I$422</definedName>
    <definedName name="TotalWaterConsumption">'Environmental Disclosures'!$D$311</definedName>
    <definedName name="Turnover">'General Information'!$E$327</definedName>
    <definedName name="TypeOfContentCoveredByTheCodeOfConductOrHumanRightsPolicyForItsOwnWorkforce">'Social Disclosures'!$D$174:$H$179</definedName>
    <definedName name="TypeOfHumanRightRelatedToTheConfirmedIncident">'Social Disclosures'!$D$186:$H$190</definedName>
    <definedName name="TypeOfNumberOfEmployees">'General Information'!$E$330</definedName>
    <definedName name="TypeOfPollutantAxis">'Environmental Disclosures'!$D$80:$F$179</definedName>
    <definedName name="TypeOfWasteAxis">'Environmental Disclosures'!$D$323:$F$422</definedName>
    <definedName name="UndertakingAppliesCircularEconomyPrinciples">'Environmental Disclosures'!$D$316</definedName>
    <definedName name="UndertakingHasACodeOfConductOrHumanRightsPolicyForItsOwnWorkforce">'Social Disclosures'!$D$172</definedName>
    <definedName name="UndertakingHasAComplaintHandlingMechanismForItsOwnWorkforce">'Social Disclosures'!$D$181</definedName>
    <definedName name="UndertakingHasConfirmedHumanRightsIncidentsInItsOwnWorkforce">'Social Disclosures'!$D$184</definedName>
    <definedName name="UndertakingHasSetATargetWhichIsRelatedToAPolicy">'General Information'!$O$556</definedName>
    <definedName name="UndertakingIsAwareOfAnyConfirmedIncidentsInvolvingWorkersInTheValueChainAffectedCommunitiesConsumersAndEndUsers">'Social Disclosures'!$D$193</definedName>
    <definedName name="UndertakingsAreExcludedFromAnyEuReferenceBenchmarksThatAreAlignedWithTheParisAgreement">'Governance Disclosures'!$H$27</definedName>
    <definedName name="UndertakingsLegalForm">'General Information'!$E$224</definedName>
    <definedName name="URLOrLinkToThePubliclyAvailableDisclosure">'Environmental Disclosures'!$G$76</definedName>
    <definedName name="VolumeOfMaterialUsed">'Environmental Disclosures'!$G$435:$I$534</definedName>
    <definedName name="VolumeOfMaterialUsed_unit">'Environmental Disclosures'!$J$435:$J$534</definedName>
    <definedName name="WasteDirectedToDisposalMass">'Environmental Disclosures'!$K$323:$K$422</definedName>
    <definedName name="WasteDirectedToDisposalMass_unit">'Environmental Disclosures'!$G$323:$I$422</definedName>
    <definedName name="WasteDirectedToDisposalVolume">'Environmental Disclosures'!$K$323:$K$422</definedName>
    <definedName name="WasteDirectedToDisposalVolume_unit">'Environmental Disclosures'!$G$323:$I$422</definedName>
    <definedName name="WasteDivertedToRecycleOrReuseMass">'Environmental Disclosures'!$J$323:$J$422</definedName>
    <definedName name="WasteDivertedToRecycleOrReuseMass_unit">'Environmental Disclosures'!$G$323:$I$422</definedName>
    <definedName name="WasteDivertedToRecycleOrReuseVolume">'Environmental Disclosures'!$J$323:$J$422</definedName>
    <definedName name="WasteDivertedToRecycleOrReuseVolume_unit">'Environmental Disclosures'!$G$323:$I$422</definedName>
    <definedName name="WasteGeneratedTable">'Environmental Disclosures'!$D$323:$L$422</definedName>
    <definedName name="WaterDischargeFromUndertakingProductionProcesses">'Environmental Disclosures'!$D$310</definedName>
    <definedName name="WeightOfMaterialUsed">'Environmental Disclosures'!$G$435:$I$534</definedName>
    <definedName name="WeightOfMaterialUsed_unit">'Environmental Disclosures'!$J$435:$J$534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6" i="8" l="1"/>
  <c r="L80" i="1" l="1"/>
  <c r="L78" i="1" l="1" a="1"/>
  <c r="L78" i="1" s="1"/>
  <c r="H567" i="3" l="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J424" i="1" l="1"/>
  <c r="J423" i="1"/>
  <c r="G536" i="1" l="1"/>
  <c r="G535" i="1"/>
  <c r="G3" i="17"/>
  <c r="E3" i="17"/>
  <c r="D3" i="17" l="1"/>
  <c r="F3" i="17"/>
  <c r="M325" i="1" l="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324" i="1"/>
  <c r="M323" i="1"/>
  <c r="I32" i="12" l="1"/>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L325"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287" i="1"/>
  <c r="L195" i="1"/>
  <c r="L196" i="1"/>
  <c r="L197" i="1"/>
  <c r="L198" i="1"/>
  <c r="L199" i="1"/>
  <c r="L200" i="1"/>
  <c r="L201" i="1"/>
  <c r="L202" i="1"/>
  <c r="L203" i="1"/>
  <c r="L204" i="1"/>
  <c r="L205" i="1"/>
  <c r="L206" i="1"/>
  <c r="L207" i="1"/>
  <c r="L208" i="1"/>
  <c r="L209" i="1"/>
  <c r="L210" i="1"/>
  <c r="L21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286"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I506" i="3"/>
  <c r="I507" i="3"/>
  <c r="I508" i="3"/>
  <c r="I509" i="3"/>
  <c r="I510" i="3"/>
  <c r="H473" i="3"/>
  <c r="I473" i="3" s="1"/>
  <c r="H474" i="3"/>
  <c r="I474" i="3" s="1"/>
  <c r="H475" i="3"/>
  <c r="I475" i="3" s="1"/>
  <c r="H476" i="3"/>
  <c r="I476" i="3" s="1"/>
  <c r="H477" i="3"/>
  <c r="I477" i="3" s="1"/>
  <c r="H478" i="3"/>
  <c r="I478" i="3" s="1"/>
  <c r="H479" i="3"/>
  <c r="I479" i="3" s="1"/>
  <c r="H480" i="3"/>
  <c r="I480" i="3" s="1"/>
  <c r="H481" i="3"/>
  <c r="I481" i="3" s="1"/>
  <c r="H482" i="3"/>
  <c r="I482" i="3" s="1"/>
  <c r="H483" i="3"/>
  <c r="I483" i="3" s="1"/>
  <c r="H484" i="3"/>
  <c r="I484" i="3" s="1"/>
  <c r="H485" i="3"/>
  <c r="I485" i="3" s="1"/>
  <c r="H486" i="3"/>
  <c r="I486" i="3" s="1"/>
  <c r="H487" i="3"/>
  <c r="I487" i="3" s="1"/>
  <c r="H488" i="3"/>
  <c r="I488" i="3" s="1"/>
  <c r="H489" i="3"/>
  <c r="I489" i="3" s="1"/>
  <c r="H490" i="3"/>
  <c r="I490" i="3" s="1"/>
  <c r="H491" i="3"/>
  <c r="I491" i="3" s="1"/>
  <c r="H492" i="3"/>
  <c r="I492" i="3" s="1"/>
  <c r="H493" i="3"/>
  <c r="I493" i="3" s="1"/>
  <c r="H494" i="3"/>
  <c r="I494" i="3" s="1"/>
  <c r="H495" i="3"/>
  <c r="I495" i="3" s="1"/>
  <c r="H496" i="3"/>
  <c r="I496" i="3" s="1"/>
  <c r="H497" i="3"/>
  <c r="I497" i="3" s="1"/>
  <c r="H498" i="3"/>
  <c r="I498" i="3" s="1"/>
  <c r="H499" i="3"/>
  <c r="I499" i="3" s="1"/>
  <c r="H500" i="3"/>
  <c r="I500" i="3" s="1"/>
  <c r="H501" i="3"/>
  <c r="I501" i="3" s="1"/>
  <c r="H502" i="3"/>
  <c r="I502" i="3" s="1"/>
  <c r="H503" i="3"/>
  <c r="I503" i="3" s="1"/>
  <c r="H504" i="3"/>
  <c r="I504" i="3" s="1"/>
  <c r="H505" i="3"/>
  <c r="I505" i="3" s="1"/>
  <c r="H506" i="3"/>
  <c r="H507" i="3"/>
  <c r="H508" i="3"/>
  <c r="H509" i="3"/>
  <c r="H510" i="3"/>
  <c r="H511" i="3"/>
  <c r="I511" i="3" s="1"/>
  <c r="H512" i="3"/>
  <c r="I512" i="3" s="1"/>
  <c r="H513" i="3"/>
  <c r="I513" i="3" s="1"/>
  <c r="H514" i="3"/>
  <c r="I514" i="3" s="1"/>
  <c r="H515" i="3"/>
  <c r="I515" i="3" s="1"/>
  <c r="H516" i="3"/>
  <c r="I516" i="3" s="1"/>
  <c r="H517" i="3"/>
  <c r="I517" i="3" s="1"/>
  <c r="H518" i="3"/>
  <c r="I518" i="3" s="1"/>
  <c r="H519" i="3"/>
  <c r="I519" i="3" s="1"/>
  <c r="H520" i="3"/>
  <c r="I520" i="3" s="1"/>
  <c r="H521" i="3"/>
  <c r="I521" i="3" s="1"/>
  <c r="H522" i="3"/>
  <c r="I522" i="3" s="1"/>
  <c r="H523" i="3"/>
  <c r="I523" i="3" s="1"/>
  <c r="H524" i="3"/>
  <c r="I524" i="3" s="1"/>
  <c r="H525" i="3"/>
  <c r="I525" i="3" s="1"/>
  <c r="H526" i="3"/>
  <c r="I526" i="3" s="1"/>
  <c r="H527" i="3"/>
  <c r="I527" i="3" s="1"/>
  <c r="H528" i="3"/>
  <c r="I528" i="3" s="1"/>
  <c r="H529" i="3"/>
  <c r="I529" i="3" s="1"/>
  <c r="H530" i="3"/>
  <c r="I530" i="3" s="1"/>
  <c r="H531" i="3"/>
  <c r="I531" i="3" s="1"/>
  <c r="H532" i="3"/>
  <c r="I532" i="3" s="1"/>
  <c r="H533" i="3"/>
  <c r="I533" i="3" s="1"/>
  <c r="H534" i="3"/>
  <c r="I534" i="3" s="1"/>
  <c r="H535" i="3"/>
  <c r="I535" i="3" s="1"/>
  <c r="H536" i="3"/>
  <c r="I536" i="3" s="1"/>
  <c r="H537" i="3"/>
  <c r="I537" i="3" s="1"/>
  <c r="H538" i="3"/>
  <c r="I538" i="3" s="1"/>
  <c r="H539" i="3"/>
  <c r="I539" i="3" s="1"/>
  <c r="H540" i="3"/>
  <c r="I540" i="3" s="1"/>
  <c r="H541" i="3"/>
  <c r="I541" i="3" s="1"/>
  <c r="H542" i="3"/>
  <c r="I542" i="3" s="1"/>
  <c r="H543" i="3"/>
  <c r="I543" i="3" s="1"/>
  <c r="H544" i="3"/>
  <c r="I544" i="3" s="1"/>
  <c r="H545" i="3"/>
  <c r="I545" i="3" s="1"/>
  <c r="H546" i="3"/>
  <c r="I546" i="3" s="1"/>
  <c r="H547" i="3"/>
  <c r="I547" i="3" s="1"/>
  <c r="H548" i="3"/>
  <c r="I548" i="3" s="1"/>
  <c r="H549" i="3"/>
  <c r="I549" i="3" s="1"/>
  <c r="F422"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3" i="3"/>
  <c r="F424" i="3"/>
  <c r="F425" i="3"/>
  <c r="F426" i="3"/>
  <c r="F427" i="3"/>
  <c r="F428" i="3"/>
  <c r="F429" i="3"/>
  <c r="F430" i="3"/>
  <c r="F431" i="3"/>
  <c r="F432" i="3"/>
  <c r="F433" i="3"/>
  <c r="F434" i="3"/>
  <c r="F435" i="3"/>
  <c r="F131" i="3" l="1"/>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227" i="3"/>
  <c r="F226" i="3"/>
  <c r="F326" i="3"/>
  <c r="B3" i="4" l="1" a="1"/>
  <c r="B3" i="4" s="1"/>
  <c r="H33" i="7"/>
  <c r="F19" i="3"/>
  <c r="I38" i="7"/>
  <c r="I32" i="7"/>
  <c r="I31" i="7"/>
  <c r="I12" i="7"/>
  <c r="I7" i="7"/>
  <c r="I6" i="7"/>
  <c r="I200" i="12"/>
  <c r="I194" i="12"/>
  <c r="I192" i="12"/>
  <c r="I191" i="12"/>
  <c r="I186" i="12" a="1"/>
  <c r="I186" i="12" s="1"/>
  <c r="I180" i="12"/>
  <c r="I174" i="12"/>
  <c r="I169" i="12"/>
  <c r="I168" i="12"/>
  <c r="I166" i="12"/>
  <c r="I165" i="12"/>
  <c r="I149" i="12"/>
  <c r="I148" i="12"/>
  <c r="I136" i="12"/>
  <c r="I135" i="12"/>
  <c r="I134" i="12"/>
  <c r="M548" i="1"/>
  <c r="L544" i="1"/>
  <c r="L543" i="1"/>
  <c r="L542" i="1"/>
  <c r="L541" i="1"/>
  <c r="L540" i="1"/>
  <c r="K438" i="1"/>
  <c r="K439" i="1"/>
  <c r="K440" i="1"/>
  <c r="K441" i="1"/>
  <c r="K442" i="1"/>
  <c r="K443" i="1"/>
  <c r="K444" i="1"/>
  <c r="K445" i="1"/>
  <c r="K446" i="1"/>
  <c r="K447" i="1"/>
  <c r="K437" i="1"/>
  <c r="K436" i="1"/>
  <c r="M423" i="1" a="1"/>
  <c r="M423" i="1" s="1"/>
  <c r="H317" i="1" l="1"/>
  <c r="E310" i="1"/>
  <c r="G293" i="1"/>
  <c r="L190" i="1"/>
  <c r="L191" i="1"/>
  <c r="L192" i="1"/>
  <c r="L193" i="1"/>
  <c r="L194" i="1"/>
  <c r="L189" i="1"/>
  <c r="L188" i="1"/>
  <c r="L186" i="1"/>
  <c r="L83" i="1"/>
  <c r="L84" i="1"/>
  <c r="L85" i="1"/>
  <c r="L86" i="1"/>
  <c r="L87" i="1"/>
  <c r="L88" i="1"/>
  <c r="L89" i="1"/>
  <c r="L82" i="1"/>
  <c r="L81" i="1"/>
  <c r="L76" i="1"/>
  <c r="L75" i="1" a="1"/>
  <c r="L75" i="1" s="1"/>
  <c r="L59" i="1"/>
  <c r="L58" i="1"/>
  <c r="L52" i="1"/>
  <c r="L30" i="1" a="1"/>
  <c r="L30" i="1" s="1"/>
  <c r="L24" i="1"/>
  <c r="L21" i="1"/>
  <c r="I581" i="3"/>
  <c r="H577" i="3"/>
  <c r="H566" i="3"/>
  <c r="H565" i="3"/>
  <c r="E562" i="3"/>
  <c r="E561" i="3"/>
  <c r="E560" i="3"/>
  <c r="P556" i="3"/>
  <c r="I441" i="3"/>
  <c r="F338" i="3"/>
  <c r="F339" i="3"/>
  <c r="F340" i="3"/>
  <c r="F341" i="3"/>
  <c r="F342" i="3"/>
  <c r="F343" i="3"/>
  <c r="F344" i="3"/>
  <c r="F345" i="3"/>
  <c r="F346" i="3"/>
  <c r="F347" i="3"/>
  <c r="F348" i="3"/>
  <c r="F349" i="3"/>
  <c r="F350" i="3"/>
  <c r="F351" i="3"/>
  <c r="F352" i="3"/>
  <c r="F353" i="3"/>
  <c r="F354" i="3"/>
  <c r="F355" i="3"/>
  <c r="F356" i="3"/>
  <c r="F337" i="3"/>
  <c r="F336" i="3"/>
  <c r="F225" i="3"/>
  <c r="F125" i="3"/>
  <c r="F126" i="3"/>
  <c r="F127" i="3"/>
  <c r="F128" i="3"/>
  <c r="F129" i="3"/>
  <c r="F130" i="3"/>
  <c r="F124" i="3"/>
  <c r="F21" i="3"/>
  <c r="F22" i="3"/>
  <c r="F23" i="3"/>
  <c r="F24" i="3"/>
  <c r="F25" i="3"/>
  <c r="F26" i="3"/>
  <c r="F27" i="3"/>
  <c r="F20" i="3"/>
  <c r="F119" i="3"/>
  <c r="F18" i="3"/>
  <c r="H3" i="17" l="1"/>
  <c r="I3" i="17"/>
  <c r="J3" i="17"/>
  <c r="K3" i="17"/>
  <c r="C3" i="17"/>
  <c r="B307" i="17" s="1"/>
  <c r="B21" i="17" l="1"/>
  <c r="B13" i="4" s="1"/>
  <c r="B490" i="17"/>
  <c r="A21" i="1" s="1"/>
  <c r="B334" i="17"/>
  <c r="C27" i="12" s="1"/>
  <c r="B19" i="17"/>
  <c r="B12" i="4" s="1"/>
  <c r="B486" i="17"/>
  <c r="M188" i="1" s="1"/>
  <c r="B415" i="17"/>
  <c r="B429" i="17"/>
  <c r="B442" i="17"/>
  <c r="B456" i="17"/>
  <c r="B470" i="17"/>
  <c r="B385" i="17"/>
  <c r="B398" i="17"/>
  <c r="B17" i="17"/>
  <c r="B33" i="17"/>
  <c r="B47" i="17"/>
  <c r="B60" i="17"/>
  <c r="B74" i="17"/>
  <c r="B88" i="17"/>
  <c r="B102" i="17"/>
  <c r="B115" i="17"/>
  <c r="B127" i="17"/>
  <c r="B140" i="17"/>
  <c r="B153" i="17"/>
  <c r="B164" i="17"/>
  <c r="B177" i="17"/>
  <c r="B189" i="17"/>
  <c r="B200" i="17"/>
  <c r="B212" i="17"/>
  <c r="B226" i="17"/>
  <c r="B240" i="17"/>
  <c r="B252" i="17"/>
  <c r="B277" i="17"/>
  <c r="B288" i="17"/>
  <c r="B301" i="17"/>
  <c r="B313" i="17"/>
  <c r="B325" i="17"/>
  <c r="B337" i="17"/>
  <c r="B349" i="17"/>
  <c r="B373" i="17"/>
  <c r="B10" i="17"/>
  <c r="B484" i="17"/>
  <c r="M14" i="1" s="1"/>
  <c r="B420" i="17"/>
  <c r="B434" i="17"/>
  <c r="B447" i="17"/>
  <c r="B461" i="17"/>
  <c r="B475" i="17"/>
  <c r="B390" i="17"/>
  <c r="B402" i="17"/>
  <c r="B24" i="17"/>
  <c r="B38" i="17"/>
  <c r="B51" i="17"/>
  <c r="B65" i="17"/>
  <c r="B79" i="17"/>
  <c r="B93" i="17"/>
  <c r="B107" i="17"/>
  <c r="B119" i="17"/>
  <c r="B132" i="17"/>
  <c r="B144" i="17"/>
  <c r="B157" i="17"/>
  <c r="B182" i="17"/>
  <c r="B193" i="17"/>
  <c r="B204" i="17"/>
  <c r="B217" i="17"/>
  <c r="B231" i="17"/>
  <c r="B243" i="17"/>
  <c r="B256" i="17"/>
  <c r="B269" i="17"/>
  <c r="B281" i="17"/>
  <c r="B292" i="17"/>
  <c r="B305" i="17"/>
  <c r="C433" i="1" s="1"/>
  <c r="B318" i="17"/>
  <c r="B329" i="17"/>
  <c r="B341" i="17"/>
  <c r="B353" i="17"/>
  <c r="B365" i="17"/>
  <c r="B378" i="17"/>
  <c r="B4" i="17"/>
  <c r="B483" i="17"/>
  <c r="L450" i="3" s="1"/>
  <c r="B409" i="17"/>
  <c r="B423" i="17"/>
  <c r="B436" i="17"/>
  <c r="B450" i="17"/>
  <c r="B464" i="17"/>
  <c r="B393" i="17"/>
  <c r="B405" i="17"/>
  <c r="B27" i="17"/>
  <c r="B41" i="17"/>
  <c r="B54" i="17"/>
  <c r="B68" i="17"/>
  <c r="B82" i="17"/>
  <c r="B96" i="17"/>
  <c r="B110" i="17"/>
  <c r="B122" i="17"/>
  <c r="B135" i="17"/>
  <c r="B147" i="17"/>
  <c r="B159" i="17"/>
  <c r="B171" i="17"/>
  <c r="B184" i="17"/>
  <c r="B207" i="17"/>
  <c r="B220" i="17"/>
  <c r="B234" i="17"/>
  <c r="B246" i="17"/>
  <c r="B259" i="17"/>
  <c r="B272" i="17"/>
  <c r="B283" i="17"/>
  <c r="B295" i="17"/>
  <c r="B308" i="17"/>
  <c r="B320" i="17"/>
  <c r="B344" i="17"/>
  <c r="B355" i="17"/>
  <c r="B368" i="17"/>
  <c r="B15" i="17"/>
  <c r="B410" i="17"/>
  <c r="B424" i="17"/>
  <c r="B437" i="17"/>
  <c r="B451" i="17"/>
  <c r="B465" i="17"/>
  <c r="B381" i="17"/>
  <c r="B406" i="17"/>
  <c r="B28" i="17"/>
  <c r="B42" i="17"/>
  <c r="B55" i="17"/>
  <c r="B69" i="17"/>
  <c r="B83" i="17"/>
  <c r="B97" i="17"/>
  <c r="B111" i="17"/>
  <c r="B123" i="17"/>
  <c r="B136" i="17"/>
  <c r="B148" i="17"/>
  <c r="B160" i="17"/>
  <c r="C440" i="3" s="1"/>
  <c r="B172" i="17"/>
  <c r="B185" i="17"/>
  <c r="B196" i="17"/>
  <c r="B208" i="17"/>
  <c r="B221" i="17"/>
  <c r="B235" i="17"/>
  <c r="B247" i="17"/>
  <c r="B260" i="17"/>
  <c r="B284" i="17"/>
  <c r="B296" i="17"/>
  <c r="B309" i="17"/>
  <c r="B332" i="17"/>
  <c r="B345" i="17"/>
  <c r="B356" i="17"/>
  <c r="B369" i="17"/>
  <c r="B5" i="17"/>
  <c r="B411" i="17"/>
  <c r="B425" i="17"/>
  <c r="B438" i="17"/>
  <c r="B452" i="17"/>
  <c r="B466" i="17"/>
  <c r="K435" i="1" s="1"/>
  <c r="B382" i="17"/>
  <c r="B394" i="17"/>
  <c r="B29" i="17"/>
  <c r="B43" i="17"/>
  <c r="B56" i="17"/>
  <c r="B70" i="17"/>
  <c r="B84" i="17"/>
  <c r="B98" i="17"/>
  <c r="B112" i="17"/>
  <c r="B124" i="17"/>
  <c r="B137" i="17"/>
  <c r="B149" i="17"/>
  <c r="B161" i="17"/>
  <c r="B173" i="17"/>
  <c r="B186" i="17"/>
  <c r="B197" i="17"/>
  <c r="B222" i="17"/>
  <c r="B236" i="17"/>
  <c r="B248" i="17"/>
  <c r="B261" i="17"/>
  <c r="B273" i="17"/>
  <c r="B285" i="17"/>
  <c r="B297" i="17"/>
  <c r="B310" i="17"/>
  <c r="B321" i="17"/>
  <c r="B333" i="17"/>
  <c r="B357" i="17"/>
  <c r="B370" i="17"/>
  <c r="B6" i="17"/>
  <c r="B416" i="17"/>
  <c r="B458" i="17"/>
  <c r="B383" i="17"/>
  <c r="B401" i="17"/>
  <c r="B31" i="17"/>
  <c r="B73" i="17"/>
  <c r="B94" i="17"/>
  <c r="B116" i="17"/>
  <c r="B134" i="17"/>
  <c r="B174" i="17"/>
  <c r="B210" i="17"/>
  <c r="B230" i="17"/>
  <c r="B251" i="17"/>
  <c r="B270" i="17"/>
  <c r="B289" i="17"/>
  <c r="B326" i="17"/>
  <c r="B346" i="17"/>
  <c r="B363" i="17"/>
  <c r="B8" i="17"/>
  <c r="B482" i="17"/>
  <c r="G226" i="3" s="1"/>
  <c r="B417" i="17"/>
  <c r="B439" i="17"/>
  <c r="B459" i="17"/>
  <c r="B32" i="17"/>
  <c r="B52" i="17"/>
  <c r="B75" i="17"/>
  <c r="B95" i="17"/>
  <c r="B117" i="17"/>
  <c r="B155" i="17"/>
  <c r="B175" i="17"/>
  <c r="B192" i="17"/>
  <c r="B211" i="17"/>
  <c r="B232" i="17"/>
  <c r="B253" i="17"/>
  <c r="B271" i="17"/>
  <c r="B327" i="17"/>
  <c r="B347" i="17"/>
  <c r="B364" i="17"/>
  <c r="B9" i="17"/>
  <c r="B488" i="17"/>
  <c r="B480" i="17"/>
  <c r="B422" i="17"/>
  <c r="B444" i="17"/>
  <c r="B467" i="17"/>
  <c r="B388" i="17"/>
  <c r="B380" i="17"/>
  <c r="B37" i="17"/>
  <c r="B59" i="17"/>
  <c r="B80" i="17"/>
  <c r="B103" i="17"/>
  <c r="B121" i="17"/>
  <c r="B180" i="17"/>
  <c r="B216" i="17"/>
  <c r="B239" i="17"/>
  <c r="B257" i="17"/>
  <c r="B278" i="17"/>
  <c r="B294" i="17"/>
  <c r="B315" i="17"/>
  <c r="B352" i="17"/>
  <c r="B14" i="17"/>
  <c r="B479" i="17"/>
  <c r="B428" i="17"/>
  <c r="B448" i="17"/>
  <c r="B471" i="17"/>
  <c r="B392" i="17"/>
  <c r="B20" i="17"/>
  <c r="C12" i="4" s="1"/>
  <c r="B44" i="17"/>
  <c r="B63" i="17"/>
  <c r="B86" i="17"/>
  <c r="B106" i="17"/>
  <c r="B126" i="17"/>
  <c r="B145" i="17"/>
  <c r="B165" i="17"/>
  <c r="B201" i="17"/>
  <c r="B223" i="17"/>
  <c r="B263" i="17"/>
  <c r="B280" i="17"/>
  <c r="B300" i="17"/>
  <c r="B338" i="17"/>
  <c r="B375" i="17"/>
  <c r="B489" i="17"/>
  <c r="J141" i="12" s="1"/>
  <c r="B433" i="17"/>
  <c r="B463" i="17"/>
  <c r="B396" i="17"/>
  <c r="B34" i="17"/>
  <c r="B62" i="17"/>
  <c r="B91" i="17"/>
  <c r="B120" i="17"/>
  <c r="B150" i="17"/>
  <c r="B176" i="17"/>
  <c r="B228" i="17"/>
  <c r="B255" i="17"/>
  <c r="B311" i="17"/>
  <c r="B336" i="17"/>
  <c r="B361" i="17"/>
  <c r="B13" i="17"/>
  <c r="B414" i="17"/>
  <c r="B445" i="17"/>
  <c r="B474" i="17"/>
  <c r="B404" i="17"/>
  <c r="B45" i="17"/>
  <c r="B72" i="17"/>
  <c r="B104" i="17"/>
  <c r="B130" i="17"/>
  <c r="B158" i="17"/>
  <c r="B187" i="17"/>
  <c r="B209" i="17"/>
  <c r="B266" i="17"/>
  <c r="B291" i="17"/>
  <c r="B319" i="17"/>
  <c r="B343" i="17"/>
  <c r="B372" i="17"/>
  <c r="B421" i="17"/>
  <c r="B453" i="17"/>
  <c r="B384" i="17"/>
  <c r="B18" i="17"/>
  <c r="B49" i="17"/>
  <c r="B78" i="17"/>
  <c r="B109" i="17"/>
  <c r="B138" i="17"/>
  <c r="B163" i="17"/>
  <c r="B190" i="17"/>
  <c r="B215" i="17"/>
  <c r="B244" i="17"/>
  <c r="B274" i="17"/>
  <c r="B299" i="17"/>
  <c r="B324" i="17"/>
  <c r="B351" i="17"/>
  <c r="B377" i="17"/>
  <c r="B426" i="17"/>
  <c r="B454" i="17"/>
  <c r="B386" i="17"/>
  <c r="B22" i="17"/>
  <c r="C13" i="4" s="1"/>
  <c r="B50" i="17"/>
  <c r="B81" i="17"/>
  <c r="B113" i="17"/>
  <c r="B139" i="17"/>
  <c r="B166" i="17"/>
  <c r="B191" i="17"/>
  <c r="B218" i="17"/>
  <c r="B245" i="17"/>
  <c r="B275" i="17"/>
  <c r="B302" i="17"/>
  <c r="B418" i="17"/>
  <c r="B460" i="17"/>
  <c r="B400" i="17"/>
  <c r="B53" i="17"/>
  <c r="B92" i="17"/>
  <c r="B131" i="17"/>
  <c r="B169" i="17"/>
  <c r="B205" i="17"/>
  <c r="B249" i="17"/>
  <c r="B286" i="17"/>
  <c r="B322" i="17"/>
  <c r="B359" i="17"/>
  <c r="B419" i="17"/>
  <c r="B462" i="17"/>
  <c r="B403" i="17"/>
  <c r="B57" i="17"/>
  <c r="B99" i="17"/>
  <c r="B133" i="17"/>
  <c r="B170" i="17"/>
  <c r="B206" i="17"/>
  <c r="B250" i="17"/>
  <c r="B323" i="17"/>
  <c r="B360" i="17"/>
  <c r="B485" i="17"/>
  <c r="M30" i="1" s="1"/>
  <c r="B432" i="17"/>
  <c r="B473" i="17"/>
  <c r="B25" i="17"/>
  <c r="B66" i="17"/>
  <c r="B108" i="17"/>
  <c r="B146" i="17"/>
  <c r="B183" i="17"/>
  <c r="B224" i="17"/>
  <c r="B262" i="17"/>
  <c r="B298" i="17"/>
  <c r="B335" i="17"/>
  <c r="B371" i="17"/>
  <c r="B441" i="17"/>
  <c r="B387" i="17"/>
  <c r="B35" i="17"/>
  <c r="B76" i="17"/>
  <c r="B118" i="17"/>
  <c r="B154" i="17"/>
  <c r="B194" i="17"/>
  <c r="B229" i="17"/>
  <c r="B267" i="17"/>
  <c r="B304" i="17"/>
  <c r="B340" i="17"/>
  <c r="B379" i="17"/>
  <c r="B487" i="17"/>
  <c r="N323" i="1" s="1"/>
  <c r="B440" i="17"/>
  <c r="B397" i="17"/>
  <c r="B64" i="17"/>
  <c r="B125" i="17"/>
  <c r="B178" i="17"/>
  <c r="B227" i="17"/>
  <c r="B331" i="17"/>
  <c r="B11" i="17"/>
  <c r="B455" i="17"/>
  <c r="B23" i="17"/>
  <c r="B85" i="17"/>
  <c r="B141" i="17"/>
  <c r="B188" i="17"/>
  <c r="B241" i="17"/>
  <c r="B293" i="17"/>
  <c r="B348" i="17"/>
  <c r="B408" i="17"/>
  <c r="B469" i="17"/>
  <c r="B36" i="17"/>
  <c r="B90" i="17"/>
  <c r="B151" i="17"/>
  <c r="B199" i="17"/>
  <c r="B306" i="17"/>
  <c r="B358" i="17"/>
  <c r="B412" i="17"/>
  <c r="B472" i="17"/>
  <c r="B39" i="17"/>
  <c r="B100" i="17"/>
  <c r="B152" i="17"/>
  <c r="B202" i="17"/>
  <c r="B258" i="17"/>
  <c r="B312" i="17"/>
  <c r="B362" i="17"/>
  <c r="B413" i="17"/>
  <c r="B476" i="17"/>
  <c r="B40" i="17"/>
  <c r="B101" i="17"/>
  <c r="B156" i="17"/>
  <c r="B203" i="17"/>
  <c r="B264" i="17"/>
  <c r="B314" i="17"/>
  <c r="B366" i="17"/>
  <c r="B395" i="17"/>
  <c r="B89" i="17"/>
  <c r="B179" i="17"/>
  <c r="B265" i="17"/>
  <c r="B430" i="17"/>
  <c r="B16" i="17"/>
  <c r="B114" i="17"/>
  <c r="B195" i="17"/>
  <c r="B279" i="17"/>
  <c r="B354" i="17"/>
  <c r="B431" i="17"/>
  <c r="B26" i="17"/>
  <c r="B198" i="17"/>
  <c r="B282" i="17"/>
  <c r="B367" i="17"/>
  <c r="B478" i="17"/>
  <c r="G4" i="3" s="1"/>
  <c r="B46" i="17"/>
  <c r="B143" i="17"/>
  <c r="B242" i="17"/>
  <c r="B350" i="17"/>
  <c r="B443" i="17"/>
  <c r="B61" i="17"/>
  <c r="B167" i="17"/>
  <c r="B276" i="17"/>
  <c r="B7" i="17"/>
  <c r="B446" i="17"/>
  <c r="B67" i="17"/>
  <c r="B168" i="17"/>
  <c r="B287" i="17"/>
  <c r="B12" i="17"/>
  <c r="B407" i="17"/>
  <c r="B162" i="17"/>
  <c r="B427" i="17"/>
  <c r="B77" i="17"/>
  <c r="B219" i="17"/>
  <c r="B339" i="17"/>
  <c r="B435" i="17"/>
  <c r="B87" i="17"/>
  <c r="B225" i="17"/>
  <c r="B342" i="17"/>
  <c r="B457" i="17"/>
  <c r="B237" i="17"/>
  <c r="B376" i="17"/>
  <c r="B477" i="17"/>
  <c r="B468" i="17"/>
  <c r="B238" i="17"/>
  <c r="B128" i="17"/>
  <c r="B254" i="17"/>
  <c r="B142" i="17"/>
  <c r="B374" i="17"/>
  <c r="B481" i="17"/>
  <c r="B181" i="17"/>
  <c r="B389" i="17"/>
  <c r="B214" i="17"/>
  <c r="B391" i="17"/>
  <c r="B233" i="17"/>
  <c r="B30" i="17"/>
  <c r="B290" i="17"/>
  <c r="B48" i="17"/>
  <c r="B303" i="17"/>
  <c r="B449" i="17"/>
  <c r="B399" i="17"/>
  <c r="B58" i="17"/>
  <c r="B71" i="17"/>
  <c r="B330" i="17"/>
  <c r="B105" i="17"/>
  <c r="B129" i="17"/>
  <c r="B213" i="17"/>
  <c r="B328" i="17"/>
  <c r="B268" i="17"/>
  <c r="B316" i="17"/>
  <c r="B317" i="17"/>
  <c r="C7" i="16" l="1"/>
  <c r="J29" i="12"/>
  <c r="I18" i="12"/>
  <c r="C56" i="16"/>
  <c r="C66" i="16"/>
  <c r="C68" i="16"/>
  <c r="C17" i="16" a="1"/>
  <c r="C17" i="16" s="1"/>
  <c r="C67" i="16"/>
  <c r="C65" i="16"/>
  <c r="G6" i="3"/>
  <c r="G10" i="3"/>
  <c r="J190" i="12"/>
  <c r="J179" i="12"/>
  <c r="G224" i="3"/>
  <c r="G19" i="3"/>
  <c r="L437" i="1"/>
  <c r="N325" i="1"/>
  <c r="G336" i="3"/>
  <c r="M190" i="1"/>
  <c r="M82" i="1"/>
  <c r="L452" i="3"/>
  <c r="J31" i="12"/>
  <c r="AZ17" i="8" l="1"/>
  <c r="AZ16" i="8"/>
  <c r="AZ10" i="8"/>
  <c r="AZ12" i="8" s="1"/>
  <c r="E19" i="8" s="1"/>
  <c r="AV10" i="8"/>
  <c r="AV12" i="8" s="1"/>
  <c r="E18" i="8" s="1"/>
  <c r="AV17" i="8"/>
  <c r="AV16" i="8"/>
  <c r="AR10" i="8"/>
  <c r="AR12" i="8" s="1"/>
  <c r="E17" i="8" s="1"/>
  <c r="AR17" i="8"/>
  <c r="AN17" i="8"/>
  <c r="AR16" i="8"/>
  <c r="AN10" i="8"/>
  <c r="AN12" i="8" s="1"/>
  <c r="E16" i="8" s="1"/>
  <c r="AN16" i="8"/>
  <c r="AJ10" i="8"/>
  <c r="AJ12" i="8" s="1"/>
  <c r="E15" i="8" s="1"/>
  <c r="AJ17" i="8"/>
  <c r="AJ16" i="8"/>
  <c r="AF10" i="8"/>
  <c r="AF12" i="8" s="1"/>
  <c r="E14" i="8" s="1"/>
  <c r="AF17" i="8"/>
  <c r="AF16" i="8"/>
  <c r="AB10" i="8"/>
  <c r="AB12" i="8" s="1"/>
  <c r="E13" i="8" s="1"/>
  <c r="AB17" i="8"/>
  <c r="AB16" i="8"/>
  <c r="X10" i="8"/>
  <c r="X17" i="8"/>
  <c r="X16" i="8"/>
  <c r="T16" i="8"/>
  <c r="T10" i="8"/>
  <c r="S18" i="8" s="1"/>
  <c r="T17" i="8"/>
  <c r="T12" i="8" l="1"/>
  <c r="E11" i="8" s="1"/>
  <c r="X11" i="8"/>
  <c r="W18" i="8"/>
  <c r="AJ11" i="8"/>
  <c r="X12" i="8"/>
  <c r="E12" i="8" s="1"/>
  <c r="AR11" i="8"/>
  <c r="T11" i="8"/>
  <c r="AB11" i="8"/>
  <c r="AZ11" i="8"/>
  <c r="AV11" i="8"/>
  <c r="AN11" i="8"/>
  <c r="AF11" i="8"/>
  <c r="D14" i="8" s="1"/>
  <c r="D13" i="8" l="1"/>
  <c r="AA19" i="8"/>
  <c r="D11" i="8"/>
  <c r="G11" i="8" s="1"/>
  <c r="D17" i="8"/>
  <c r="AQ19" i="8"/>
  <c r="D16" i="8"/>
  <c r="AY19" i="8"/>
  <c r="D19" i="8"/>
  <c r="D15" i="8"/>
  <c r="D18" i="8"/>
  <c r="AU19" i="8"/>
  <c r="W19" i="8"/>
  <c r="D12" i="8"/>
  <c r="AE19" i="8"/>
  <c r="P10" i="8"/>
  <c r="O18" i="8" s="1"/>
  <c r="P17" i="8"/>
  <c r="P18" i="8"/>
  <c r="P12" i="8" l="1"/>
  <c r="E10" i="8" s="1"/>
  <c r="P11" i="8"/>
  <c r="D10" i="8" s="1"/>
  <c r="Q16" i="8" l="1"/>
  <c r="O19" i="8"/>
  <c r="O20" i="8" s="1"/>
  <c r="O21" i="8" s="1"/>
  <c r="G10" i="8"/>
  <c r="D9" i="3"/>
  <c r="B2" i="11" s="1"/>
  <c r="D62" i="1"/>
  <c r="D13" i="3"/>
  <c r="B3" i="11" s="1"/>
  <c r="O23" i="8" l="1"/>
  <c r="C61" i="16"/>
  <c r="A16" i="9"/>
  <c r="A1" i="9"/>
  <c r="G12" i="9"/>
  <c r="A4" i="9"/>
  <c r="G17" i="9"/>
  <c r="A8" i="9"/>
  <c r="A20" i="9"/>
  <c r="A12" i="9"/>
  <c r="G20" i="9"/>
  <c r="G4" i="9"/>
  <c r="G23" i="9"/>
  <c r="G5" i="9"/>
  <c r="G32" i="9"/>
  <c r="G6" i="9"/>
  <c r="G7" i="9"/>
  <c r="G8" i="9"/>
  <c r="G9" i="9"/>
  <c r="G10" i="9"/>
  <c r="G11" i="9"/>
  <c r="A5" i="8"/>
  <c r="A39" i="8"/>
  <c r="A48" i="8"/>
  <c r="I12" i="8"/>
  <c r="A43" i="8"/>
  <c r="A40" i="8"/>
  <c r="I9" i="8"/>
  <c r="I13" i="8"/>
  <c r="A2" i="8"/>
  <c r="A9" i="8"/>
  <c r="A28" i="8"/>
  <c r="I19" i="8"/>
  <c r="D9" i="8"/>
  <c r="A44" i="8"/>
  <c r="I17" i="8"/>
  <c r="A46" i="8"/>
  <c r="A31" i="8"/>
  <c r="A23" i="8"/>
  <c r="F9" i="8"/>
  <c r="E9" i="8"/>
  <c r="C9" i="8"/>
  <c r="I16" i="8"/>
  <c r="B31" i="8"/>
  <c r="I10" i="8"/>
  <c r="A4" i="8"/>
  <c r="A36" i="8"/>
  <c r="A1" i="8"/>
  <c r="I14" i="8"/>
  <c r="I11" i="8"/>
  <c r="A3" i="8"/>
  <c r="A37" i="8"/>
  <c r="B6" i="8"/>
  <c r="A42" i="8"/>
  <c r="A47" i="8"/>
  <c r="I18" i="8"/>
  <c r="I15" i="8"/>
  <c r="C178" i="12"/>
  <c r="B1" i="4"/>
  <c r="B34" i="4"/>
  <c r="B15" i="4"/>
  <c r="B29" i="4"/>
  <c r="B44" i="4"/>
  <c r="B18" i="4"/>
  <c r="C29" i="4"/>
  <c r="B19" i="4"/>
  <c r="B30" i="4"/>
  <c r="B20" i="4"/>
  <c r="C30" i="4"/>
  <c r="B11" i="4"/>
  <c r="B43" i="4"/>
  <c r="B21" i="4"/>
  <c r="B22" i="4"/>
  <c r="C32" i="4"/>
  <c r="B25" i="4"/>
  <c r="B10" i="4"/>
  <c r="C36" i="4"/>
  <c r="C37" i="4"/>
  <c r="B14" i="4"/>
  <c r="B23" i="4"/>
  <c r="C33" i="4"/>
  <c r="B24" i="4"/>
  <c r="C34" i="4"/>
  <c r="B2" i="4"/>
  <c r="C35" i="4"/>
  <c r="B27" i="4"/>
  <c r="B28" i="4"/>
  <c r="C28" i="4"/>
  <c r="B61" i="16"/>
  <c r="B29" i="16"/>
  <c r="B11" i="16"/>
  <c r="B26" i="16"/>
  <c r="B40" i="16"/>
  <c r="B22" i="16"/>
  <c r="B37" i="16"/>
  <c r="B30" i="16"/>
  <c r="B53" i="16"/>
  <c r="B27" i="16"/>
  <c r="B52" i="16"/>
  <c r="B51" i="16"/>
  <c r="B23" i="16"/>
  <c r="B39" i="16"/>
  <c r="B21" i="16"/>
  <c r="B33" i="16"/>
  <c r="B32" i="16"/>
  <c r="B62" i="16"/>
  <c r="B64" i="16"/>
  <c r="B34" i="16"/>
  <c r="B38" i="16"/>
  <c r="B20" i="16"/>
  <c r="B17" i="16"/>
  <c r="B16" i="16"/>
  <c r="B14" i="16"/>
  <c r="B13" i="16"/>
  <c r="B12" i="16"/>
  <c r="B4" i="16"/>
  <c r="B28" i="16"/>
  <c r="C6" i="3"/>
  <c r="C119" i="3"/>
  <c r="C224" i="3"/>
  <c r="C329" i="3"/>
  <c r="C4" i="16"/>
  <c r="B41" i="16"/>
  <c r="B65" i="16"/>
  <c r="E335" i="3"/>
  <c r="D446" i="3"/>
  <c r="G555" i="3"/>
  <c r="B42" i="16"/>
  <c r="B54" i="16"/>
  <c r="B66" i="16"/>
  <c r="C7" i="3"/>
  <c r="C13" i="3"/>
  <c r="C225" i="3"/>
  <c r="C330" i="3"/>
  <c r="E446" i="3"/>
  <c r="B6" i="16"/>
  <c r="B19" i="16"/>
  <c r="B31" i="16"/>
  <c r="B67" i="16"/>
  <c r="F446" i="3"/>
  <c r="D554" i="3"/>
  <c r="H555" i="3"/>
  <c r="B7" i="16"/>
  <c r="B44" i="16"/>
  <c r="B56" i="16"/>
  <c r="B68" i="16"/>
  <c r="C8" i="3"/>
  <c r="C226" i="3"/>
  <c r="C331" i="3"/>
  <c r="B8" i="16"/>
  <c r="B45" i="16"/>
  <c r="B57" i="16"/>
  <c r="G446" i="3"/>
  <c r="N554" i="3"/>
  <c r="I555" i="3"/>
  <c r="B10" i="16"/>
  <c r="B58" i="16"/>
  <c r="C3" i="3"/>
  <c r="C9" i="3"/>
  <c r="C16" i="3"/>
  <c r="C122" i="3"/>
  <c r="C326" i="3"/>
  <c r="B47" i="16"/>
  <c r="C441" i="3"/>
  <c r="H446" i="3"/>
  <c r="O554" i="3"/>
  <c r="J555" i="3"/>
  <c r="B24" i="16"/>
  <c r="B36" i="16"/>
  <c r="B48" i="16"/>
  <c r="B60" i="16"/>
  <c r="D335" i="3"/>
  <c r="F555" i="3"/>
  <c r="C4" i="3"/>
  <c r="C123" i="3"/>
  <c r="C5" i="3"/>
  <c r="C223" i="3"/>
  <c r="B50" i="16"/>
  <c r="C10" i="3"/>
  <c r="C327" i="3"/>
  <c r="B3" i="16"/>
  <c r="H447" i="3"/>
  <c r="C11" i="3"/>
  <c r="B15" i="16"/>
  <c r="B63" i="16"/>
  <c r="C18" i="3"/>
  <c r="B25" i="16"/>
  <c r="D555" i="3"/>
  <c r="C19" i="3"/>
  <c r="E555" i="3"/>
  <c r="C2" i="16"/>
  <c r="C573" i="3"/>
  <c r="C161" i="12"/>
  <c r="B1" i="11"/>
  <c r="D59" i="1"/>
  <c r="D60" i="1"/>
  <c r="K555" i="3"/>
  <c r="C5" i="1"/>
  <c r="C21" i="1"/>
  <c r="L555" i="3"/>
  <c r="C22" i="1"/>
  <c r="C41" i="1"/>
  <c r="C75" i="1"/>
  <c r="C311" i="1"/>
  <c r="B9" i="8"/>
  <c r="D434" i="1"/>
  <c r="C11" i="12"/>
  <c r="C141" i="12"/>
  <c r="C184" i="12"/>
  <c r="C25" i="7"/>
  <c r="C565" i="3"/>
  <c r="C33" i="1"/>
  <c r="C42" i="1"/>
  <c r="C76" i="1"/>
  <c r="J322" i="1"/>
  <c r="C150" i="12"/>
  <c r="C167" i="12"/>
  <c r="C185" i="12"/>
  <c r="C193" i="12"/>
  <c r="C17" i="7"/>
  <c r="C26" i="7"/>
  <c r="B1" i="12"/>
  <c r="G19" i="1"/>
  <c r="C29" i="1"/>
  <c r="C66" i="1"/>
  <c r="G187" i="1"/>
  <c r="C310" i="1"/>
  <c r="J535" i="1"/>
  <c r="C10" i="12"/>
  <c r="C136" i="12"/>
  <c r="C166" i="12"/>
  <c r="C15" i="7"/>
  <c r="C560" i="3"/>
  <c r="C571" i="3"/>
  <c r="C10" i="1"/>
  <c r="D20" i="1"/>
  <c r="C30" i="1"/>
  <c r="C39" i="1"/>
  <c r="D79" i="1"/>
  <c r="J187" i="1"/>
  <c r="C297" i="1"/>
  <c r="L322" i="1"/>
  <c r="C536" i="1"/>
  <c r="C137" i="12"/>
  <c r="C5" i="7"/>
  <c r="C27" i="7"/>
  <c r="G20" i="1"/>
  <c r="C298" i="1"/>
  <c r="C316" i="1"/>
  <c r="C147" i="12"/>
  <c r="C168" i="12"/>
  <c r="C16" i="7"/>
  <c r="C561" i="3"/>
  <c r="C572" i="3"/>
  <c r="G11" i="1"/>
  <c r="C40" i="1"/>
  <c r="C68" i="1"/>
  <c r="D423" i="1"/>
  <c r="K11" i="1"/>
  <c r="C38" i="1"/>
  <c r="C57" i="1"/>
  <c r="C74" i="1"/>
  <c r="D187" i="1"/>
  <c r="D428" i="1"/>
  <c r="C539" i="1"/>
  <c r="C140" i="12"/>
  <c r="C181" i="12"/>
  <c r="C194" i="12"/>
  <c r="C12" i="1"/>
  <c r="C25" i="1"/>
  <c r="C77" i="1"/>
  <c r="K187" i="1"/>
  <c r="C304" i="1"/>
  <c r="C9" i="12"/>
  <c r="C18" i="7"/>
  <c r="C30" i="7"/>
  <c r="M555" i="3"/>
  <c r="C13" i="1"/>
  <c r="C43" i="1"/>
  <c r="C59" i="1"/>
  <c r="D322" i="1"/>
  <c r="C540" i="1"/>
  <c r="C28" i="12"/>
  <c r="C142" i="12"/>
  <c r="C169" i="12"/>
  <c r="C31" i="7"/>
  <c r="C31" i="1"/>
  <c r="G79" i="1"/>
  <c r="C423" i="1"/>
  <c r="C541" i="1"/>
  <c r="C144" i="12"/>
  <c r="C6" i="7"/>
  <c r="C562" i="3"/>
  <c r="C577" i="3"/>
  <c r="C32" i="1"/>
  <c r="C45" i="1"/>
  <c r="D61" i="1"/>
  <c r="C294" i="1"/>
  <c r="D424" i="1"/>
  <c r="G434" i="1"/>
  <c r="C542" i="1"/>
  <c r="C172" i="12"/>
  <c r="C21" i="7"/>
  <c r="C33" i="7"/>
  <c r="C34" i="1"/>
  <c r="C46" i="1"/>
  <c r="J79" i="1"/>
  <c r="D294" i="1"/>
  <c r="C309" i="1"/>
  <c r="C543" i="1"/>
  <c r="C173" i="12"/>
  <c r="J20" i="1"/>
  <c r="C35" i="1"/>
  <c r="K79" i="1"/>
  <c r="C295" i="1"/>
  <c r="D425" i="1"/>
  <c r="C134" i="12"/>
  <c r="C576" i="3"/>
  <c r="C14" i="1"/>
  <c r="C44" i="1"/>
  <c r="K322" i="1"/>
  <c r="C143" i="12"/>
  <c r="C32" i="7"/>
  <c r="K20" i="1"/>
  <c r="C317" i="1"/>
  <c r="C24" i="7"/>
  <c r="C2" i="12"/>
  <c r="C151" i="12"/>
  <c r="C191" i="12"/>
  <c r="C3" i="12"/>
  <c r="C152" i="12"/>
  <c r="C23" i="1"/>
  <c r="C192" i="12"/>
  <c r="C566" i="3"/>
  <c r="C184" i="1"/>
  <c r="C567" i="3"/>
  <c r="C36" i="1"/>
  <c r="D426" i="1"/>
  <c r="C10" i="7"/>
  <c r="D427" i="1"/>
  <c r="H11" i="7"/>
  <c r="C37" i="1"/>
  <c r="C187" i="1"/>
  <c r="C165" i="12"/>
  <c r="C12" i="7"/>
  <c r="C535" i="1"/>
  <c r="C13" i="7"/>
  <c r="C296" i="1"/>
  <c r="C135" i="12"/>
  <c r="J11" i="1"/>
  <c r="C180" i="12"/>
  <c r="C22" i="7"/>
  <c r="C303" i="1"/>
  <c r="C23" i="7"/>
  <c r="C14" i="7"/>
  <c r="C56" i="1"/>
  <c r="D21" i="1"/>
  <c r="F10" i="8" l="1"/>
  <c r="I147" i="12"/>
  <c r="I184" i="12"/>
  <c r="I144" i="12"/>
  <c r="I140" i="12"/>
  <c r="I181" i="12"/>
  <c r="H10" i="12"/>
  <c r="C37" i="16" s="1"/>
  <c r="I22" i="7"/>
  <c r="C62" i="16" s="1"/>
  <c r="C60" i="16" s="1"/>
  <c r="I172" i="12"/>
  <c r="I157" i="12"/>
  <c r="C42" i="16" s="1"/>
  <c r="I193" i="12"/>
  <c r="I151" i="12"/>
  <c r="L5" i="1"/>
  <c r="C20" i="16" s="1"/>
  <c r="F331" i="3"/>
  <c r="F224" i="3"/>
  <c r="F328" i="3"/>
  <c r="F223" i="3"/>
  <c r="H572" i="3"/>
  <c r="H316" i="1"/>
  <c r="C32" i="16" s="1"/>
  <c r="F330" i="3"/>
  <c r="E304" i="1"/>
  <c r="H573" i="3"/>
  <c r="F329" i="3"/>
  <c r="F327" i="3"/>
  <c r="F123" i="3"/>
  <c r="E303" i="1"/>
  <c r="L23" i="1"/>
  <c r="L22" i="1"/>
  <c r="H571" i="3"/>
  <c r="C30" i="16"/>
  <c r="C54" i="16"/>
  <c r="F10" i="3"/>
  <c r="F6" i="3" s="1"/>
  <c r="C16" i="16"/>
  <c r="C15" i="16" s="1"/>
  <c r="F122" i="3"/>
  <c r="C13" i="16"/>
  <c r="F5" i="3"/>
  <c r="C52" i="16"/>
  <c r="C40" i="16"/>
  <c r="C63" i="16"/>
  <c r="F4" i="3"/>
  <c r="C48" i="16"/>
  <c r="F3" i="3"/>
  <c r="C44" i="16"/>
  <c r="C51" i="16"/>
  <c r="G295" i="1"/>
  <c r="C7" i="7"/>
  <c r="C14" i="12"/>
  <c r="C6" i="12"/>
  <c r="A17" i="9"/>
  <c r="A21" i="9"/>
  <c r="A13" i="9"/>
  <c r="A5" i="9"/>
  <c r="A9" i="9"/>
  <c r="C13" i="9"/>
  <c r="C5" i="9"/>
  <c r="C21" i="9"/>
  <c r="C9" i="9"/>
  <c r="C17" i="9"/>
  <c r="C29" i="7"/>
  <c r="C148" i="12"/>
  <c r="C2" i="7"/>
  <c r="C149" i="12"/>
  <c r="C131" i="12"/>
  <c r="C20" i="7"/>
  <c r="C36" i="7"/>
  <c r="C146" i="12"/>
  <c r="C31" i="4"/>
  <c r="B7" i="8"/>
  <c r="C2" i="1"/>
  <c r="C289" i="1"/>
  <c r="C579" i="3"/>
  <c r="C64" i="1"/>
  <c r="C164" i="12"/>
  <c r="C538" i="1"/>
  <c r="C319" i="1"/>
  <c r="C546" i="1"/>
  <c r="C437" i="3"/>
  <c r="C198" i="12"/>
  <c r="C181" i="1"/>
  <c r="C9" i="7"/>
  <c r="C139" i="12"/>
  <c r="C564" i="3"/>
  <c r="C443" i="3"/>
  <c r="C183" i="12"/>
  <c r="C171" i="12"/>
  <c r="C313" i="1"/>
  <c r="C121" i="3"/>
  <c r="C306" i="1"/>
  <c r="C154" i="12"/>
  <c r="C49" i="1"/>
  <c r="C24" i="12"/>
  <c r="C333" i="3"/>
  <c r="C7" i="1"/>
  <c r="C558" i="3"/>
  <c r="C551" i="3"/>
  <c r="C71" i="1"/>
  <c r="C300" i="1"/>
  <c r="C430" i="1"/>
  <c r="C55" i="1"/>
  <c r="C575" i="3"/>
  <c r="C570" i="3"/>
  <c r="B1" i="1"/>
  <c r="A1" i="1"/>
  <c r="A1" i="12"/>
  <c r="D156" i="12"/>
  <c r="C18" i="12"/>
  <c r="C157" i="12"/>
  <c r="C188" i="12"/>
  <c r="C176" i="12"/>
  <c r="C175" i="12"/>
  <c r="C187" i="12"/>
  <c r="C156" i="12"/>
  <c r="C17" i="12"/>
  <c r="C328" i="3"/>
  <c r="E28" i="12"/>
  <c r="D17" i="12"/>
  <c r="D9" i="12"/>
  <c r="C186" i="12"/>
  <c r="C174" i="12"/>
  <c r="C159" i="12"/>
  <c r="C20" i="12"/>
  <c r="C160" i="12"/>
  <c r="C21" i="12"/>
  <c r="C177" i="12"/>
  <c r="C189" i="12"/>
  <c r="C158" i="12"/>
  <c r="C19" i="12"/>
  <c r="C129" i="12"/>
  <c r="C22" i="12"/>
  <c r="C12" i="12"/>
  <c r="C190" i="12"/>
  <c r="C179" i="12"/>
  <c r="B49" i="16"/>
  <c r="B18" i="16"/>
  <c r="B35" i="16"/>
  <c r="B55" i="16"/>
  <c r="G16" i="1"/>
  <c r="B59" i="16"/>
  <c r="B43" i="16"/>
  <c r="B5" i="16"/>
  <c r="B46" i="16"/>
  <c r="B9" i="16"/>
  <c r="C544" i="1"/>
  <c r="C47" i="1"/>
  <c r="C24" i="1"/>
  <c r="C69" i="1"/>
  <c r="C26" i="1"/>
  <c r="C67" i="1"/>
  <c r="C58" i="1"/>
  <c r="C16" i="1"/>
  <c r="J434" i="1"/>
  <c r="G322" i="1"/>
  <c r="A1" i="3"/>
  <c r="B1" i="3"/>
  <c r="G427" i="1"/>
  <c r="J536" i="1"/>
  <c r="G426" i="1"/>
  <c r="G428" i="1"/>
  <c r="C434" i="1"/>
  <c r="C322" i="1"/>
  <c r="C79" i="1"/>
  <c r="C185" i="1"/>
  <c r="C292" i="1"/>
  <c r="C2" i="3"/>
  <c r="C446" i="3"/>
  <c r="C335" i="3"/>
  <c r="C554" i="3"/>
  <c r="D142" i="12"/>
  <c r="D143" i="12" s="1"/>
  <c r="K31" i="1"/>
  <c r="K32" i="1"/>
  <c r="K33" i="1"/>
  <c r="K34" i="1"/>
  <c r="K35" i="1"/>
  <c r="K36" i="1"/>
  <c r="K37" i="1"/>
  <c r="K38" i="1"/>
  <c r="K39" i="1"/>
  <c r="K40" i="1"/>
  <c r="K41" i="1"/>
  <c r="K42" i="1"/>
  <c r="K43" i="1"/>
  <c r="K44" i="1"/>
  <c r="K30" i="1"/>
  <c r="C11" i="16" l="1"/>
  <c r="C29" i="16"/>
  <c r="C28" i="16" s="1"/>
  <c r="C22" i="16"/>
  <c r="C23" i="16" s="1"/>
  <c r="C57" i="16"/>
  <c r="C47" i="16"/>
  <c r="C58" i="16"/>
  <c r="C6" i="16"/>
  <c r="C24" i="16"/>
  <c r="G25" i="1"/>
  <c r="J25" i="1"/>
  <c r="C162" i="12"/>
  <c r="J453" i="3" l="1"/>
  <c r="J454" i="3"/>
  <c r="J455" i="3"/>
  <c r="J456" i="3"/>
  <c r="J457" i="3"/>
  <c r="J458" i="3"/>
  <c r="J459" i="3"/>
  <c r="J460" i="3"/>
  <c r="J461" i="3"/>
  <c r="J462" i="3"/>
  <c r="J463" i="3"/>
  <c r="J464" i="3"/>
  <c r="J465" i="3"/>
  <c r="J466" i="3"/>
  <c r="J467" i="3"/>
  <c r="J468" i="3"/>
  <c r="J469" i="3"/>
  <c r="J470" i="3"/>
  <c r="J471" i="3"/>
  <c r="J472" i="3"/>
  <c r="J548" i="3"/>
  <c r="J549" i="3"/>
  <c r="D206" i="1"/>
  <c r="D205" i="1"/>
  <c r="D201" i="1"/>
  <c r="D189" i="1"/>
  <c r="D188" i="1"/>
  <c r="D190" i="1"/>
  <c r="D191" i="1"/>
  <c r="D192" i="1"/>
  <c r="D193" i="1"/>
  <c r="D194" i="1"/>
  <c r="D195" i="1"/>
  <c r="D196" i="1"/>
  <c r="D197" i="1"/>
  <c r="D198" i="1"/>
  <c r="D199" i="1"/>
  <c r="D200" i="1"/>
  <c r="D202" i="1"/>
  <c r="D203" i="1"/>
  <c r="D204" i="1"/>
  <c r="D207" i="1"/>
  <c r="D208" i="1"/>
  <c r="D209" i="1"/>
  <c r="D210" i="1"/>
  <c r="D211" i="1"/>
  <c r="D286" i="1"/>
  <c r="D287" i="1"/>
  <c r="D56" i="1"/>
  <c r="K23" i="1"/>
  <c r="K24" i="1"/>
  <c r="K22" i="1"/>
  <c r="AS26" i="8"/>
  <c r="AY18" i="8"/>
  <c r="AZ18" i="8"/>
  <c r="AO26" i="8"/>
  <c r="AU18" i="8"/>
  <c r="AV18" i="8"/>
  <c r="AK26" i="8"/>
  <c r="AQ18" i="8"/>
  <c r="AR18" i="8"/>
  <c r="AG26" i="8"/>
  <c r="AM18" i="8"/>
  <c r="AN18" i="8"/>
  <c r="AM19" i="8" s="1"/>
  <c r="AC26" i="8"/>
  <c r="AI18" i="8"/>
  <c r="AJ18" i="8"/>
  <c r="AI19" i="8" s="1"/>
  <c r="Y26" i="8"/>
  <c r="AE18" i="8"/>
  <c r="AF18" i="8"/>
  <c r="U26" i="8"/>
  <c r="AA18" i="8"/>
  <c r="AB18" i="8"/>
  <c r="Q26" i="8"/>
  <c r="X18" i="8"/>
  <c r="W20" i="8" s="1"/>
  <c r="W21" i="8" s="1"/>
  <c r="M26" i="8"/>
  <c r="T18" i="8"/>
  <c r="S19" i="8" s="1"/>
  <c r="S20" i="8" l="1"/>
  <c r="S21" i="8" s="1"/>
  <c r="AY20" i="8"/>
  <c r="AY21" i="8" s="1"/>
  <c r="AM20" i="8"/>
  <c r="L57" i="1"/>
  <c r="C53" i="16" s="1"/>
  <c r="C50" i="16" s="1"/>
  <c r="C27" i="16"/>
  <c r="C33" i="16" l="1"/>
  <c r="G424" i="1"/>
  <c r="G425" i="1"/>
  <c r="L323" i="1" l="1"/>
  <c r="D167" i="12" l="1"/>
  <c r="G45" i="1" l="1"/>
  <c r="G47" i="1" s="1"/>
  <c r="D311" i="1"/>
  <c r="D5" i="11"/>
  <c r="D6" i="11"/>
  <c r="D7" i="11"/>
  <c r="D8" i="11"/>
  <c r="D9" i="11"/>
  <c r="D10" i="11"/>
  <c r="D11" i="11"/>
  <c r="D12" i="11"/>
  <c r="D13" i="11"/>
  <c r="D14" i="11"/>
  <c r="D15" i="11"/>
  <c r="D16" i="11"/>
  <c r="D17" i="11"/>
  <c r="D18" i="11"/>
  <c r="D19" i="11"/>
  <c r="D20" i="11"/>
  <c r="D21" i="11"/>
  <c r="D22" i="11"/>
  <c r="D23" i="11"/>
  <c r="D24" i="11"/>
  <c r="D25" i="11"/>
  <c r="D26" i="11"/>
  <c r="D152" i="12" l="1"/>
  <c r="D150" i="12"/>
  <c r="I141" i="12"/>
  <c r="C41" i="16" s="1"/>
  <c r="D137" i="12"/>
  <c r="E129" i="12"/>
  <c r="D22" i="12"/>
  <c r="H18" i="12" s="1"/>
  <c r="C38" i="16" s="1"/>
  <c r="D12" i="12"/>
  <c r="D11" i="12" s="1"/>
  <c r="F3" i="12"/>
  <c r="F2" i="12"/>
  <c r="K466" i="3"/>
  <c r="H454" i="3"/>
  <c r="I454" i="3" s="1"/>
  <c r="I30" i="12" l="1"/>
  <c r="I31" i="12"/>
  <c r="I29" i="12"/>
  <c r="C39" i="16" s="1"/>
  <c r="C36" i="16" s="1"/>
  <c r="P22" i="8"/>
  <c r="H17" i="7"/>
  <c r="D6" i="9"/>
  <c r="K549" i="3" l="1"/>
  <c r="J45" i="1" l="1"/>
  <c r="J47" i="1" s="1"/>
  <c r="D45" i="1"/>
  <c r="D46" i="1" s="1"/>
  <c r="G68" i="1" s="1"/>
  <c r="K45" i="1" l="1"/>
  <c r="G46" i="1"/>
  <c r="J46" i="1"/>
  <c r="K451" i="3"/>
  <c r="D3" i="11" s="1"/>
  <c r="K452" i="3"/>
  <c r="K453" i="3"/>
  <c r="F5" i="11" s="1"/>
  <c r="K454" i="3"/>
  <c r="E6" i="11" s="1"/>
  <c r="K455" i="3"/>
  <c r="K456" i="3"/>
  <c r="K457" i="3"/>
  <c r="K458" i="3"/>
  <c r="K459" i="3"/>
  <c r="K460" i="3"/>
  <c r="K461" i="3"/>
  <c r="K462" i="3"/>
  <c r="F14" i="11" s="1"/>
  <c r="K463" i="3"/>
  <c r="K464" i="3"/>
  <c r="K465" i="3"/>
  <c r="E17" i="11" s="1"/>
  <c r="F18" i="11"/>
  <c r="K467" i="3"/>
  <c r="F19" i="11" s="1"/>
  <c r="K468" i="3"/>
  <c r="F20" i="11" s="1"/>
  <c r="K469" i="3"/>
  <c r="K470" i="3"/>
  <c r="K471" i="3"/>
  <c r="K472" i="3"/>
  <c r="K548" i="3"/>
  <c r="K450" i="3"/>
  <c r="D2" i="11" s="1"/>
  <c r="H459" i="3"/>
  <c r="I459" i="3" s="1"/>
  <c r="H460" i="3"/>
  <c r="I460" i="3" s="1"/>
  <c r="H461" i="3"/>
  <c r="I461" i="3" s="1"/>
  <c r="H462" i="3"/>
  <c r="I462" i="3" s="1"/>
  <c r="H463" i="3"/>
  <c r="I463" i="3" s="1"/>
  <c r="H464" i="3"/>
  <c r="I464" i="3" s="1"/>
  <c r="H465" i="3"/>
  <c r="I465" i="3" s="1"/>
  <c r="H466" i="3"/>
  <c r="I466" i="3" s="1"/>
  <c r="H467" i="3"/>
  <c r="I467" i="3" s="1"/>
  <c r="H469" i="3"/>
  <c r="I469" i="3" s="1"/>
  <c r="H470" i="3"/>
  <c r="I470" i="3" s="1"/>
  <c r="H471" i="3"/>
  <c r="I471" i="3" s="1"/>
  <c r="H472" i="3"/>
  <c r="I472" i="3" s="1"/>
  <c r="D47" i="1"/>
  <c r="G69" i="1" s="1"/>
  <c r="D4" i="11" l="1"/>
  <c r="F4" i="11" s="1"/>
  <c r="K47" i="1"/>
  <c r="K46" i="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D14" i="9"/>
  <c r="D10" i="9"/>
  <c r="G19" i="8"/>
  <c r="G18" i="8"/>
  <c r="G17" i="8"/>
  <c r="G16" i="8"/>
  <c r="G15" i="8"/>
  <c r="G14" i="8"/>
  <c r="G13" i="8"/>
  <c r="Y16" i="8" l="1"/>
  <c r="W23" i="8" s="1"/>
  <c r="F12" i="8" s="1"/>
  <c r="G12" i="8"/>
  <c r="U16" i="8"/>
  <c r="S23" i="8" s="1"/>
  <c r="F11" i="8" s="1"/>
  <c r="BA16" i="8"/>
  <c r="J450" i="3"/>
  <c r="J451" i="3"/>
  <c r="E4" i="11"/>
  <c r="AW16" i="8"/>
  <c r="AU20" i="8"/>
  <c r="AU21" i="8" s="1"/>
  <c r="AS16" i="8"/>
  <c r="AO16" i="8"/>
  <c r="AK16" i="8"/>
  <c r="AG16" i="8"/>
  <c r="AA20" i="8"/>
  <c r="AA21" i="8" s="1"/>
  <c r="AC16" i="8"/>
  <c r="G20" i="11"/>
  <c r="H468" i="3" s="1"/>
  <c r="I468" i="3" s="1"/>
  <c r="H453" i="3"/>
  <c r="I453" i="3" s="1"/>
  <c r="G13" i="11"/>
  <c r="G24" i="11"/>
  <c r="G11" i="11"/>
  <c r="C26" i="16"/>
  <c r="C25" i="16" s="1"/>
  <c r="G25" i="11"/>
  <c r="G10" i="11"/>
  <c r="H458" i="3" s="1"/>
  <c r="I458" i="3" s="1"/>
  <c r="G22" i="11"/>
  <c r="G12" i="11"/>
  <c r="G16" i="11"/>
  <c r="G21" i="11"/>
  <c r="G7" i="11"/>
  <c r="H455" i="3" s="1"/>
  <c r="I455" i="3" s="1"/>
  <c r="G23" i="11"/>
  <c r="G8" i="11"/>
  <c r="H456" i="3" s="1"/>
  <c r="I456" i="3" s="1"/>
  <c r="G15" i="11"/>
  <c r="G9" i="11"/>
  <c r="H457" i="3" s="1"/>
  <c r="I457" i="3" s="1"/>
  <c r="G26" i="11"/>
  <c r="G3" i="11"/>
  <c r="G2" i="11"/>
  <c r="H450" i="3" s="1"/>
  <c r="I450" i="3" s="1"/>
  <c r="J26" i="1"/>
  <c r="G26" i="1"/>
  <c r="D26" i="1"/>
  <c r="G67" i="1" s="1"/>
  <c r="K25" i="1"/>
  <c r="D25" i="1"/>
  <c r="G66" i="1" s="1"/>
  <c r="AQ20" i="8" l="1"/>
  <c r="AQ21" i="8" s="1"/>
  <c r="AQ23" i="8" s="1"/>
  <c r="AE20" i="8"/>
  <c r="AE21" i="8" s="1"/>
  <c r="AM21" i="8"/>
  <c r="AM23" i="8" s="1"/>
  <c r="AI20" i="8"/>
  <c r="AA23" i="8"/>
  <c r="AY23" i="8"/>
  <c r="K26" i="1"/>
  <c r="G4" i="11"/>
  <c r="H452" i="3" s="1"/>
  <c r="I452" i="3" s="1"/>
  <c r="J452" i="3"/>
  <c r="AU23" i="8"/>
  <c r="X22" i="8"/>
  <c r="H451" i="3"/>
  <c r="I451" i="3" s="1"/>
  <c r="D15" i="6"/>
  <c r="D3" i="6"/>
  <c r="D4" i="6"/>
  <c r="D5" i="6"/>
  <c r="D6" i="6"/>
  <c r="D7" i="6"/>
  <c r="D8" i="6"/>
  <c r="D9" i="6"/>
  <c r="D10" i="6"/>
  <c r="D11" i="6"/>
  <c r="D12" i="6"/>
  <c r="D13" i="6"/>
  <c r="D14"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A32" i="8" l="1"/>
  <c r="B32" i="8"/>
  <c r="AR22" i="8"/>
  <c r="F17" i="8"/>
  <c r="AB22" i="8"/>
  <c r="F13" i="8"/>
  <c r="AV22" i="8"/>
  <c r="F18" i="8"/>
  <c r="AZ22" i="8"/>
  <c r="F19" i="8"/>
  <c r="AN22" i="8"/>
  <c r="F16" i="8"/>
  <c r="AI21" i="8"/>
  <c r="AI23" i="8" s="1"/>
  <c r="AJ22" i="8" s="1"/>
  <c r="AE23" i="8"/>
  <c r="C14" i="16"/>
  <c r="T22" i="8"/>
  <c r="AF22" i="8" l="1"/>
  <c r="G14" i="1" s="1"/>
  <c r="F14" i="8"/>
  <c r="F15" i="8"/>
  <c r="J14" i="1"/>
  <c r="L12" i="1" l="1" a="1"/>
  <c r="L12" i="1" s="1"/>
  <c r="C21" i="16" s="1"/>
  <c r="K14" i="1"/>
  <c r="A29" i="8"/>
  <c r="C12" i="16"/>
  <c r="C10" i="16" s="1"/>
  <c r="L324" i="1" l="1"/>
  <c r="L326" i="1"/>
  <c r="L327" i="1"/>
  <c r="L328" i="1"/>
  <c r="J427" i="1" s="1"/>
  <c r="L329" i="1"/>
  <c r="J426" i="1" s="1"/>
  <c r="L330" i="1"/>
  <c r="L331" i="1"/>
  <c r="L332" i="1"/>
  <c r="L333" i="1"/>
  <c r="L334" i="1"/>
  <c r="L335" i="1"/>
  <c r="L336" i="1"/>
  <c r="L422" i="1"/>
  <c r="J428" i="1" l="1"/>
  <c r="C19" i="16" l="1"/>
  <c r="J425" i="1"/>
  <c r="K12" i="1"/>
  <c r="D22" i="9" l="1"/>
  <c r="D18" i="9"/>
  <c r="H27" i="7" l="1"/>
  <c r="I27" i="7" s="1"/>
  <c r="K13" i="1" l="1"/>
  <c r="C34" i="16" l="1"/>
  <c r="C31" i="16" s="1"/>
  <c r="C3" i="16" l="1" a="1"/>
  <c r="C3" i="16" s="1"/>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 i="6"/>
  <c r="D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<sst xmlns="http://schemas.openxmlformats.org/spreadsheetml/2006/main" count="10051" uniqueCount="9559">
  <si>
    <t>Name of the reporting entity</t>
  </si>
  <si>
    <t>N/A</t>
  </si>
  <si>
    <t>This report contains disclosures from the previous reporting period that remain unchanged</t>
  </si>
  <si>
    <t>Undertakings legal form</t>
  </si>
  <si>
    <t>Number of employees</t>
  </si>
  <si>
    <t>Country of primary operations and location of significant asset(s)</t>
  </si>
  <si>
    <t>ID</t>
  </si>
  <si>
    <t>Name</t>
  </si>
  <si>
    <t>Address</t>
  </si>
  <si>
    <t>Postal code</t>
  </si>
  <si>
    <t>City</t>
  </si>
  <si>
    <t>Country</t>
  </si>
  <si>
    <t>C1 – Strategy: Business Model and Sustainability – Related Initiatives</t>
  </si>
  <si>
    <t>Electricity (as reflected in utility billings)</t>
  </si>
  <si>
    <t>Current Reporting Period</t>
  </si>
  <si>
    <t>Row ID</t>
  </si>
  <si>
    <t>Medium of release</t>
  </si>
  <si>
    <t>Land-use type</t>
  </si>
  <si>
    <t>Total sealed area</t>
  </si>
  <si>
    <t>Total use of land</t>
  </si>
  <si>
    <t>C4 – Climate risks</t>
  </si>
  <si>
    <t>Time horizons of any climate-related hazards and transition events identified</t>
  </si>
  <si>
    <t>Type of contract</t>
  </si>
  <si>
    <t>Temporary contract</t>
  </si>
  <si>
    <t>Permanent contract</t>
  </si>
  <si>
    <t>Gender</t>
  </si>
  <si>
    <t>Male</t>
  </si>
  <si>
    <t>Female</t>
  </si>
  <si>
    <t>Other</t>
  </si>
  <si>
    <t>Not reported</t>
  </si>
  <si>
    <t>Country of employment contract</t>
  </si>
  <si>
    <t>B9 – Workforce – Health and safety</t>
  </si>
  <si>
    <t>Number of fatalities as a result of work-related injuries and work-related ill health</t>
  </si>
  <si>
    <t>C5 – Additional (general) workforce characteristics</t>
  </si>
  <si>
    <t>Total temporary workers provided by undertakings primarily engaged in employment activities</t>
  </si>
  <si>
    <t>C6 – Additional own workforce information - Human rights policies and processes</t>
  </si>
  <si>
    <t>Does the undertaking have a code of conduct or human rights policy for its own workforce?</t>
  </si>
  <si>
    <t>C7 – Severe negative human rights incidents</t>
  </si>
  <si>
    <t>B11 – Convictions and fines for corruption and bribery</t>
  </si>
  <si>
    <t>C9 – Gender diversity ratio in the governance body</t>
  </si>
  <si>
    <t>Technical Name</t>
  </si>
  <si>
    <t>Country List</t>
  </si>
  <si>
    <t>CountryAxis</t>
  </si>
  <si>
    <t>All Economic Activities (NACE) / NA [member]</t>
  </si>
  <si>
    <t>Andorra</t>
  </si>
  <si>
    <t>country:AD</t>
  </si>
  <si>
    <t>A - AGRICULTURE, FORESTRY AND FISHING</t>
  </si>
  <si>
    <t>NACE_A</t>
  </si>
  <si>
    <t>United Arab Emirates</t>
  </si>
  <si>
    <t>country:AE</t>
  </si>
  <si>
    <t>A - 01 Crop and animal production, hunting and related service activities</t>
  </si>
  <si>
    <t>NACE_A01</t>
  </si>
  <si>
    <t>Afghanistan</t>
  </si>
  <si>
    <t>country:AF</t>
  </si>
  <si>
    <t>A - 01.1 Growing of non-perennial crops</t>
  </si>
  <si>
    <t>NACE_A011</t>
  </si>
  <si>
    <t>Antigua and Barbuda</t>
  </si>
  <si>
    <t>country:AG</t>
  </si>
  <si>
    <t>A - 01.11 Growing of cereals, other than rice, leguminous crops and oil seeds</t>
  </si>
  <si>
    <t>NACE_A0111</t>
  </si>
  <si>
    <t>Anguilla</t>
  </si>
  <si>
    <t>country:AI</t>
  </si>
  <si>
    <t>A - 01.12 Growing of rice</t>
  </si>
  <si>
    <t>NACE_A0112</t>
  </si>
  <si>
    <t>Albania</t>
  </si>
  <si>
    <t>country:AL</t>
  </si>
  <si>
    <t>A - 01.13 Growing of vegetables and melons, roots and tubers</t>
  </si>
  <si>
    <t>NACE_A0113</t>
  </si>
  <si>
    <t>Armenia</t>
  </si>
  <si>
    <t>country:AM</t>
  </si>
  <si>
    <t>A - 01.14 Growing of sugar cane</t>
  </si>
  <si>
    <t>NACE_A0114</t>
  </si>
  <si>
    <t>Netherlands Antilles (before 2010-12-15)</t>
  </si>
  <si>
    <t>country:AN</t>
  </si>
  <si>
    <t>A - 01.15 Growing of tobacco</t>
  </si>
  <si>
    <t>NACE_A0115</t>
  </si>
  <si>
    <t>Angola</t>
  </si>
  <si>
    <t>country:AO</t>
  </si>
  <si>
    <t>A - 01.16 Growing of fibre crops</t>
  </si>
  <si>
    <t>NACE_A0116</t>
  </si>
  <si>
    <t>Antarctica</t>
  </si>
  <si>
    <t>country:AQ</t>
  </si>
  <si>
    <t>A - 01.19 Growing of other non-perennial crops</t>
  </si>
  <si>
    <t>NACE_A0119</t>
  </si>
  <si>
    <t>Argentina</t>
  </si>
  <si>
    <t>country:AR</t>
  </si>
  <si>
    <t>A - 01.2 Growing of perennial crops</t>
  </si>
  <si>
    <t>NACE_A012</t>
  </si>
  <si>
    <t>American Samoa</t>
  </si>
  <si>
    <t>country:AS</t>
  </si>
  <si>
    <t>A - 01.21 Growing of grapes</t>
  </si>
  <si>
    <t>NACE_A0121</t>
  </si>
  <si>
    <t>Austria</t>
  </si>
  <si>
    <t>country:AT</t>
  </si>
  <si>
    <t>A - 01.22 Growing of tropical and subtropical fruits</t>
  </si>
  <si>
    <t>NACE_A0122</t>
  </si>
  <si>
    <t>Australia</t>
  </si>
  <si>
    <t>country:AU</t>
  </si>
  <si>
    <t>A - 01.23 Growing of citrus fruits</t>
  </si>
  <si>
    <t>NACE_A0123</t>
  </si>
  <si>
    <t>Aruba</t>
  </si>
  <si>
    <t>country:AW</t>
  </si>
  <si>
    <t>A - 01.24 Growing of pome fruits and stone fruits</t>
  </si>
  <si>
    <t>NACE_A0124</t>
  </si>
  <si>
    <t>Åland Islands</t>
  </si>
  <si>
    <t>country:AX</t>
  </si>
  <si>
    <t>A - 01.25 Growing of other tree and bush fruits and nuts</t>
  </si>
  <si>
    <t>NACE_A0125</t>
  </si>
  <si>
    <t>Azerbaijan</t>
  </si>
  <si>
    <t>country:AZ</t>
  </si>
  <si>
    <t>A - 01.26 Growing of oleaginous fruits</t>
  </si>
  <si>
    <t>NACE_A0126</t>
  </si>
  <si>
    <t>Bosnia and Herzegovina</t>
  </si>
  <si>
    <t>country:BA</t>
  </si>
  <si>
    <t>A - 01.27 Growing of beverage crops</t>
  </si>
  <si>
    <t>NACE_A0127</t>
  </si>
  <si>
    <t>Barbados</t>
  </si>
  <si>
    <t>country:BB</t>
  </si>
  <si>
    <t>A - 01.28 Growing of spices, aromatic, drug and pharmaceutical crops</t>
  </si>
  <si>
    <t>NACE_A0128</t>
  </si>
  <si>
    <t>Bangladesh</t>
  </si>
  <si>
    <t>country:BD</t>
  </si>
  <si>
    <t>A - 01.29 Growing of other perennial crops</t>
  </si>
  <si>
    <t>NACE_A0129</t>
  </si>
  <si>
    <t>Belgium</t>
  </si>
  <si>
    <t>country:BE</t>
  </si>
  <si>
    <t>A - 01.3 Plant propagation</t>
  </si>
  <si>
    <t>NACE_A013</t>
  </si>
  <si>
    <t>Burkina Faso</t>
  </si>
  <si>
    <t>country:BF</t>
  </si>
  <si>
    <t>A - 01.30 Plant propagation</t>
  </si>
  <si>
    <t>NACE_A0130</t>
  </si>
  <si>
    <t>Bulgaria</t>
  </si>
  <si>
    <t>country:BG</t>
  </si>
  <si>
    <t>A - 01.4 Animal production</t>
  </si>
  <si>
    <t>NACE_A014</t>
  </si>
  <si>
    <t>Bahrain</t>
  </si>
  <si>
    <t>country:BH</t>
  </si>
  <si>
    <t>A - 01.41 Raising of dairy cattle</t>
  </si>
  <si>
    <t>NACE_A0141</t>
  </si>
  <si>
    <t>Burundi</t>
  </si>
  <si>
    <t>country:BI</t>
  </si>
  <si>
    <t>A - 01.42 Raising of other cattle and buffaloes</t>
  </si>
  <si>
    <t>NACE_A0142</t>
  </si>
  <si>
    <t>Benin</t>
  </si>
  <si>
    <t>country:BJ</t>
  </si>
  <si>
    <t>A - 01.43 Raising of horses and other equines</t>
  </si>
  <si>
    <t>NACE_A0143</t>
  </si>
  <si>
    <t>Saint Barthélemy</t>
  </si>
  <si>
    <t>country:BL</t>
  </si>
  <si>
    <t>A - 01.44 Raising of camels and camelids</t>
  </si>
  <si>
    <t>NACE_A0144</t>
  </si>
  <si>
    <t>Bermuda</t>
  </si>
  <si>
    <t>country:BM</t>
  </si>
  <si>
    <t>A - 01.45 Raising of sheep and goats</t>
  </si>
  <si>
    <t>NACE_A0145</t>
  </si>
  <si>
    <t>Brunei Darussalam</t>
  </si>
  <si>
    <t>country:BN</t>
  </si>
  <si>
    <t>A - 01.46 Raising of swine and pigs</t>
  </si>
  <si>
    <t>NACE_A0146</t>
  </si>
  <si>
    <t>Bolivia (Plurinational State of)</t>
  </si>
  <si>
    <t>country:BO</t>
  </si>
  <si>
    <t>A - 01.47 Raising of poultry</t>
  </si>
  <si>
    <t>NACE_A0147</t>
  </si>
  <si>
    <t>Bonaire, Sint Eustatius and Saba</t>
  </si>
  <si>
    <t>country:BQ</t>
  </si>
  <si>
    <t>A - 01.48 Raising of other animals</t>
  </si>
  <si>
    <t>NACE_A0148</t>
  </si>
  <si>
    <t>Brazil</t>
  </si>
  <si>
    <t>country:BR</t>
  </si>
  <si>
    <t>A - 01.5 Mixed farming</t>
  </si>
  <si>
    <t>NACE_A015</t>
  </si>
  <si>
    <t>Bahamas</t>
  </si>
  <si>
    <t>country:BS</t>
  </si>
  <si>
    <t>A - 01.50 Mixed farming</t>
  </si>
  <si>
    <t>NACE_A0150</t>
  </si>
  <si>
    <t>Bhutan</t>
  </si>
  <si>
    <t>country:BT</t>
  </si>
  <si>
    <t>A - 01.6 Support activities to agriculture and post-harvest crop activities</t>
  </si>
  <si>
    <t>NACE_A016</t>
  </si>
  <si>
    <t>Burma (before 1989-12-15)</t>
  </si>
  <si>
    <t>country:BU</t>
  </si>
  <si>
    <t>A - 01.61 Support activities for crop production</t>
  </si>
  <si>
    <t>NACE_A0161</t>
  </si>
  <si>
    <t>Bouvet Island</t>
  </si>
  <si>
    <t>country:BV</t>
  </si>
  <si>
    <t>A - 01.62 Support activities for animal production</t>
  </si>
  <si>
    <t>NACE_A0162</t>
  </si>
  <si>
    <t>Botswana</t>
  </si>
  <si>
    <t>country:BW</t>
  </si>
  <si>
    <t>A - 01.63 Post-harvest crop activities and seed processing for propagation</t>
  </si>
  <si>
    <t>NACE_A0163</t>
  </si>
  <si>
    <t>Belarus</t>
  </si>
  <si>
    <t>country:BY</t>
  </si>
  <si>
    <t>A - 01.7 Hunting, trapping and related service activities</t>
  </si>
  <si>
    <t>NACE_A017</t>
  </si>
  <si>
    <t>Belize</t>
  </si>
  <si>
    <t>country:BZ</t>
  </si>
  <si>
    <t>A - 01.70 Hunting, trapping and related service activities</t>
  </si>
  <si>
    <t>NACE_A0170</t>
  </si>
  <si>
    <t>Canada</t>
  </si>
  <si>
    <t>country:CA</t>
  </si>
  <si>
    <t>A - 02 Forestry and logging</t>
  </si>
  <si>
    <t>NACE_A02</t>
  </si>
  <si>
    <t>Cocos (Keeling) Islands</t>
  </si>
  <si>
    <t>country:CC</t>
  </si>
  <si>
    <t>A - 02.1 Silviculture and other forestry activities</t>
  </si>
  <si>
    <t>NACE_A021</t>
  </si>
  <si>
    <t>Congo (the Democratic Republic of the)</t>
  </si>
  <si>
    <t>country:CD</t>
  </si>
  <si>
    <t>A - 02.10 Silviculture and other forestry activities</t>
  </si>
  <si>
    <t>NACE_A0210</t>
  </si>
  <si>
    <t>Central African Republic</t>
  </si>
  <si>
    <t>country:CF</t>
  </si>
  <si>
    <t>A - 02.2 Logging</t>
  </si>
  <si>
    <t>NACE_A022</t>
  </si>
  <si>
    <t>Congo</t>
  </si>
  <si>
    <t>country:CG</t>
  </si>
  <si>
    <t>A - 02.20 Logging</t>
  </si>
  <si>
    <t>NACE_A0220</t>
  </si>
  <si>
    <t>Switzerland</t>
  </si>
  <si>
    <t>country:CH</t>
  </si>
  <si>
    <t>A - 02.3 Gathering of wild growing non-wood products</t>
  </si>
  <si>
    <t>NACE_A023</t>
  </si>
  <si>
    <t>Côte d'Ivoire</t>
  </si>
  <si>
    <t>country:CI</t>
  </si>
  <si>
    <t>A - 02.30 Gathering of wild growing non-wood products</t>
  </si>
  <si>
    <t>NACE_A0230</t>
  </si>
  <si>
    <t>Cook Islands</t>
  </si>
  <si>
    <t>country:CK</t>
  </si>
  <si>
    <t>A - 02.4 Support services to forestry</t>
  </si>
  <si>
    <t>NACE_A024</t>
  </si>
  <si>
    <t>Chile</t>
  </si>
  <si>
    <t>country:CL</t>
  </si>
  <si>
    <t>A - 02.40 Support services to forestry</t>
  </si>
  <si>
    <t>NACE_A0240</t>
  </si>
  <si>
    <t>Cameroon</t>
  </si>
  <si>
    <t>country:CM</t>
  </si>
  <si>
    <t>A - 03 Fishing and aquaculture</t>
  </si>
  <si>
    <t>NACE_A03</t>
  </si>
  <si>
    <t>China</t>
  </si>
  <si>
    <t>country:CN</t>
  </si>
  <si>
    <t>A - 03.1 Fishing</t>
  </si>
  <si>
    <t>NACE_A031</t>
  </si>
  <si>
    <t>Colombia</t>
  </si>
  <si>
    <t>country:CO</t>
  </si>
  <si>
    <t>A - 03.11 Marine fishing</t>
  </si>
  <si>
    <t>NACE_A0311</t>
  </si>
  <si>
    <t>Costa Rica</t>
  </si>
  <si>
    <t>country:CR</t>
  </si>
  <si>
    <t>A - 03.12 Freshwater fishing</t>
  </si>
  <si>
    <t>NACE_A0312</t>
  </si>
  <si>
    <t>Serbia and Montenegro (before 2006-09-26)</t>
  </si>
  <si>
    <t>country:CS</t>
  </si>
  <si>
    <t>A - 03.2 Aquaculture</t>
  </si>
  <si>
    <t>NACE_A032</t>
  </si>
  <si>
    <t>Cuba</t>
  </si>
  <si>
    <t>country:CU</t>
  </si>
  <si>
    <t>A - 03.21 Marine aquaculture</t>
  </si>
  <si>
    <t>NACE_A0321</t>
  </si>
  <si>
    <t>Cabo Verde</t>
  </si>
  <si>
    <t>country:CV</t>
  </si>
  <si>
    <t>A - 03.22 Freshwater aquaculture</t>
  </si>
  <si>
    <t>NACE_A0322</t>
  </si>
  <si>
    <t>Curaçao</t>
  </si>
  <si>
    <t>country:CW</t>
  </si>
  <si>
    <t>A - 03.3 Support activities for fishing and aquaculture</t>
  </si>
  <si>
    <t>NACE_A033</t>
  </si>
  <si>
    <t>Christmas Island</t>
  </si>
  <si>
    <t>country:CX</t>
  </si>
  <si>
    <t>A - 03.30 Support activities for fishing and aquaculture</t>
  </si>
  <si>
    <t>NACE_A0330</t>
  </si>
  <si>
    <t>Cyprus</t>
  </si>
  <si>
    <t>country:CY</t>
  </si>
  <si>
    <t>B - MINING AND QUARRYING</t>
  </si>
  <si>
    <t>NACE_B</t>
  </si>
  <si>
    <t>Czechia</t>
  </si>
  <si>
    <t>country:CZ</t>
  </si>
  <si>
    <t>B - 04 Mining of coal and lignite</t>
  </si>
  <si>
    <t>NACE_B04</t>
  </si>
  <si>
    <t>Germany</t>
  </si>
  <si>
    <t>country:DE</t>
  </si>
  <si>
    <t>B - 05.1 Mining of hard coal</t>
  </si>
  <si>
    <t>NACE_B051</t>
  </si>
  <si>
    <t>Djibouti</t>
  </si>
  <si>
    <t>country:DJ</t>
  </si>
  <si>
    <t>B - 05.10 Mining of hard coal</t>
  </si>
  <si>
    <t>NACE_B0510</t>
  </si>
  <si>
    <t>Denmark</t>
  </si>
  <si>
    <t>country:DK</t>
  </si>
  <si>
    <t>B - 05.2 Mining of lignite</t>
  </si>
  <si>
    <t>NACE_B052</t>
  </si>
  <si>
    <t>Dominica</t>
  </si>
  <si>
    <t>country:DM</t>
  </si>
  <si>
    <t>B - 05.20 Mining of lignite</t>
  </si>
  <si>
    <t>NACE_B0520</t>
  </si>
  <si>
    <t>Dominican Republic</t>
  </si>
  <si>
    <t>country:DO</t>
  </si>
  <si>
    <t>B - 05 Extraction of crude petroleum and natural gas</t>
  </si>
  <si>
    <t>NACE_B05</t>
  </si>
  <si>
    <t>Algeria</t>
  </si>
  <si>
    <t>country:DZ</t>
  </si>
  <si>
    <t>B - 06.1 Extraction of crude petroleum</t>
  </si>
  <si>
    <t>NACE_B061</t>
  </si>
  <si>
    <t>Ecuador</t>
  </si>
  <si>
    <t>country:EC</t>
  </si>
  <si>
    <t>B - 06.10 Extraction of crude petroleum</t>
  </si>
  <si>
    <t>NACE_B0610</t>
  </si>
  <si>
    <t>Estonia</t>
  </si>
  <si>
    <t>country:EE</t>
  </si>
  <si>
    <t>B - 06.2 Extraction of natural gas</t>
  </si>
  <si>
    <t>NACE_B062</t>
  </si>
  <si>
    <t>Egypt</t>
  </si>
  <si>
    <t>country:EG</t>
  </si>
  <si>
    <t>B - 06.20 Extraction of natural gas</t>
  </si>
  <si>
    <t>NACE_B0620</t>
  </si>
  <si>
    <t>Western Sahara*</t>
  </si>
  <si>
    <t>country:EH</t>
  </si>
  <si>
    <t>B - 06 Mining of metal ores</t>
  </si>
  <si>
    <t>NACE_B06</t>
  </si>
  <si>
    <t>Eritrea</t>
  </si>
  <si>
    <t>country:ER</t>
  </si>
  <si>
    <t>B - 07.1 Mining of iron ores</t>
  </si>
  <si>
    <t>NACE_B071</t>
  </si>
  <si>
    <t>Spain</t>
  </si>
  <si>
    <t>country:ES</t>
  </si>
  <si>
    <t>B - 07.10 Mining of iron ores</t>
  </si>
  <si>
    <t>NACE_B0710</t>
  </si>
  <si>
    <t>Ethiopia</t>
  </si>
  <si>
    <t>country:ET</t>
  </si>
  <si>
    <t>B - 07.2 Mining of non-ferrous metal ores</t>
  </si>
  <si>
    <t>NACE_B072</t>
  </si>
  <si>
    <t>Finland</t>
  </si>
  <si>
    <t>country:FI</t>
  </si>
  <si>
    <t>B - 07.21 Mining of uranium and thorium ores</t>
  </si>
  <si>
    <t>NACE_B0721</t>
  </si>
  <si>
    <t>Fiji</t>
  </si>
  <si>
    <t>country:FJ</t>
  </si>
  <si>
    <t>B - 07.29 Mining of other non-ferrous metal ores</t>
  </si>
  <si>
    <t>NACE_B0729</t>
  </si>
  <si>
    <t>Falkland Islands (the) [Malvinas]</t>
  </si>
  <si>
    <t>country:FK</t>
  </si>
  <si>
    <t>B - 07 Other mining and quarrying</t>
  </si>
  <si>
    <t>NACE_B07</t>
  </si>
  <si>
    <t>Micronesia (Federated States of)</t>
  </si>
  <si>
    <t>country:FM</t>
  </si>
  <si>
    <t>B - 08.1 Quarrying of stone, sand and clay</t>
  </si>
  <si>
    <t>NACE_B081</t>
  </si>
  <si>
    <t>Faroe Islands</t>
  </si>
  <si>
    <t>country:FO</t>
  </si>
  <si>
    <t>B - 08.11 Quarrying of ornamental stone, limestone, gypsum, slate and other stone</t>
  </si>
  <si>
    <t>NACE_B0811</t>
  </si>
  <si>
    <t>France</t>
  </si>
  <si>
    <t>country:FR</t>
  </si>
  <si>
    <t>B - 08.12 Operation of gravel and sand pits and mining of clay and kaolin</t>
  </si>
  <si>
    <t>NACE_B0812</t>
  </si>
  <si>
    <t>Gabon</t>
  </si>
  <si>
    <t>country:GA</t>
  </si>
  <si>
    <t>B - 08.9 Mining and quarrying n.e.c.</t>
  </si>
  <si>
    <t>NACE_B089</t>
  </si>
  <si>
    <t>United Kingdom of Great Britain and Northern Ireland</t>
  </si>
  <si>
    <t>country:GB</t>
  </si>
  <si>
    <t>B - 08.91 Mining of chemical and fertiliser minerals</t>
  </si>
  <si>
    <t>NACE_B0891</t>
  </si>
  <si>
    <t>Grenada</t>
  </si>
  <si>
    <t>country:GD</t>
  </si>
  <si>
    <t>B - 08.92 Extraction of peat</t>
  </si>
  <si>
    <t>NACE_B0892</t>
  </si>
  <si>
    <t>Georgia</t>
  </si>
  <si>
    <t>country:GE</t>
  </si>
  <si>
    <t>B - 08.93 Extraction of salt</t>
  </si>
  <si>
    <t>NACE_B0893</t>
  </si>
  <si>
    <t>French Guiana</t>
  </si>
  <si>
    <t>country:GF</t>
  </si>
  <si>
    <t>B - 08.99 Other mining and quarrying n.e.c.</t>
  </si>
  <si>
    <t>NACE_B0899</t>
  </si>
  <si>
    <t>Guernsey</t>
  </si>
  <si>
    <t>country:GG</t>
  </si>
  <si>
    <t>B - 08 Mining support service activities</t>
  </si>
  <si>
    <t>NACE_B08</t>
  </si>
  <si>
    <t>Ghana</t>
  </si>
  <si>
    <t>country:GH</t>
  </si>
  <si>
    <t>B - 09.1 Support activities for petroleum and natural gas extraction</t>
  </si>
  <si>
    <t>NACE_B091</t>
  </si>
  <si>
    <t>Gibraltar</t>
  </si>
  <si>
    <t>country:GI</t>
  </si>
  <si>
    <t>B - 09.10 Support activities for petroleum and natural gas extraction</t>
  </si>
  <si>
    <t>NACE_B0910</t>
  </si>
  <si>
    <t>Greenland</t>
  </si>
  <si>
    <t>country:GL</t>
  </si>
  <si>
    <t>B - 09.9 Support activities for other mining and quarrying</t>
  </si>
  <si>
    <t>NACE_B099</t>
  </si>
  <si>
    <t>Gambia</t>
  </si>
  <si>
    <t>country:GM</t>
  </si>
  <si>
    <t>B - 09.90 Support activities for other mining and quarrying</t>
  </si>
  <si>
    <t>NACE_B0990</t>
  </si>
  <si>
    <t>Guinea</t>
  </si>
  <si>
    <t>country:GN</t>
  </si>
  <si>
    <t>C - MANUFACTURING</t>
  </si>
  <si>
    <t>NACE_C</t>
  </si>
  <si>
    <t>Guadeloupe</t>
  </si>
  <si>
    <t>country:GP</t>
  </si>
  <si>
    <t>C - 10 Manufacture of food products</t>
  </si>
  <si>
    <t>NACE_C10</t>
  </si>
  <si>
    <t>Equatorial Guinea</t>
  </si>
  <si>
    <t>country:GQ</t>
  </si>
  <si>
    <t>C - 10.1 Processing and preserving of meat and production of meat products</t>
  </si>
  <si>
    <t>NACE_C101</t>
  </si>
  <si>
    <t>Greece</t>
  </si>
  <si>
    <t>country:GR</t>
  </si>
  <si>
    <t>C - 10.11 Processing and preserving of meat, except of poultry meat</t>
  </si>
  <si>
    <t>NACE_C1011</t>
  </si>
  <si>
    <t>South Georgia and the South Sandwich Islands</t>
  </si>
  <si>
    <t>country:GS</t>
  </si>
  <si>
    <t>C - 10.12 Processing and preserving of poultry meat</t>
  </si>
  <si>
    <t>NACE_C1012</t>
  </si>
  <si>
    <t>Guatemala</t>
  </si>
  <si>
    <t>country:GT</t>
  </si>
  <si>
    <t>C - 10.13 Production of meat and poultry meat products</t>
  </si>
  <si>
    <t>NACE_C1013</t>
  </si>
  <si>
    <t>Guam</t>
  </si>
  <si>
    <t>country:GU</t>
  </si>
  <si>
    <t>C - 10.2 Processing and preserving of fish, crustaceans and molluscs</t>
  </si>
  <si>
    <t>NACE_C102</t>
  </si>
  <si>
    <t>Guinea-Bissau</t>
  </si>
  <si>
    <t>country:GW</t>
  </si>
  <si>
    <t>C - 10.20 Processing and preserving of fish, crustaceans and molluscs</t>
  </si>
  <si>
    <t>NACE_C1020</t>
  </si>
  <si>
    <t>Guyana</t>
  </si>
  <si>
    <t>country:GY</t>
  </si>
  <si>
    <t>C - 10.3 Processing and preserving of fruit and vegetables</t>
  </si>
  <si>
    <t>NACE_C103</t>
  </si>
  <si>
    <t>Hong Kong</t>
  </si>
  <si>
    <t>country:HK</t>
  </si>
  <si>
    <t>C - 10.31 Processing and preserving of potatoes</t>
  </si>
  <si>
    <t>NACE_C1031</t>
  </si>
  <si>
    <t>Heard Island and McDonald Islands</t>
  </si>
  <si>
    <t>country:HM</t>
  </si>
  <si>
    <t>C - 10.32 Manufacture of fruit and vegetable juice</t>
  </si>
  <si>
    <t>NACE_C1032</t>
  </si>
  <si>
    <t>Honduras</t>
  </si>
  <si>
    <t>country:HN</t>
  </si>
  <si>
    <t>C - 10.39 Other processing and preserving of fruit and vegetables</t>
  </si>
  <si>
    <t>NACE_C1039</t>
  </si>
  <si>
    <t>Croatia</t>
  </si>
  <si>
    <t>country:HR</t>
  </si>
  <si>
    <t>C - 10.4 Manufacture of vegetable and animal oils and fats</t>
  </si>
  <si>
    <t>NACE_C104</t>
  </si>
  <si>
    <t>Haiti</t>
  </si>
  <si>
    <t>country:HT</t>
  </si>
  <si>
    <t>C - 10.41 Manufacture of oils and fats</t>
  </si>
  <si>
    <t>NACE_C1041</t>
  </si>
  <si>
    <t>Hungary</t>
  </si>
  <si>
    <t>country:HU</t>
  </si>
  <si>
    <t>C - 10.42 Manufacture of margarine and similar edible fats</t>
  </si>
  <si>
    <t>NACE_C1042</t>
  </si>
  <si>
    <t>Indonesia</t>
  </si>
  <si>
    <t>country:ID</t>
  </si>
  <si>
    <t>C - 10.5 Manufacture of dairy products and edible ice</t>
  </si>
  <si>
    <t>NACE_C105</t>
  </si>
  <si>
    <t>Ireland</t>
  </si>
  <si>
    <t>country:IE</t>
  </si>
  <si>
    <t>C - 10.51 Manufacture of dairy products</t>
  </si>
  <si>
    <t>NACE_C1051</t>
  </si>
  <si>
    <t>Israel</t>
  </si>
  <si>
    <t>country:IL</t>
  </si>
  <si>
    <t>C - 10.52 Manufacture of ice cream and other edible ice</t>
  </si>
  <si>
    <t>NACE_C1052</t>
  </si>
  <si>
    <t>Isle of Man</t>
  </si>
  <si>
    <t>country:IM</t>
  </si>
  <si>
    <t>C - 10.6 Manufacture of grain mill products, starches and starch products</t>
  </si>
  <si>
    <t>NACE_C106</t>
  </si>
  <si>
    <t>India</t>
  </si>
  <si>
    <t>country:IN</t>
  </si>
  <si>
    <t>C - 10.61 Manufacture of grain mill products</t>
  </si>
  <si>
    <t>NACE_C1061</t>
  </si>
  <si>
    <t>British Indian Ocean Territory</t>
  </si>
  <si>
    <t>country:IO</t>
  </si>
  <si>
    <t>C - 10.62 Manufacture of starches and starch products</t>
  </si>
  <si>
    <t>NACE_C1062</t>
  </si>
  <si>
    <t>Iraq</t>
  </si>
  <si>
    <t>country:IQ</t>
  </si>
  <si>
    <t>C - 10.7 Manufacture of bakery and farinaceous products</t>
  </si>
  <si>
    <t>NACE_C107</t>
  </si>
  <si>
    <t>Iran (Islamic Republic of)</t>
  </si>
  <si>
    <t>country:IR</t>
  </si>
  <si>
    <t>C - 10.71 Manufacture of bread; manufacture of fresh pastry goods and cakes</t>
  </si>
  <si>
    <t>NACE_C1071</t>
  </si>
  <si>
    <t>Iceland</t>
  </si>
  <si>
    <t>country:IS</t>
  </si>
  <si>
    <t>C - 10.72 Manufacture of rusks, biscuits, preserved pastries and cakes</t>
  </si>
  <si>
    <t>NACE_C1072</t>
  </si>
  <si>
    <t>Italy</t>
  </si>
  <si>
    <t>country:IT</t>
  </si>
  <si>
    <t>C - 10.73 Manufacture of farinaceous products</t>
  </si>
  <si>
    <t>NACE_C1073</t>
  </si>
  <si>
    <t>Jersey</t>
  </si>
  <si>
    <t>country:JE</t>
  </si>
  <si>
    <t>C - 10.8 Manufacture of other food products</t>
  </si>
  <si>
    <t>NACE_C108</t>
  </si>
  <si>
    <t>Jamaica</t>
  </si>
  <si>
    <t>country:JM</t>
  </si>
  <si>
    <t>C - 10.81 Manufacture of sugar</t>
  </si>
  <si>
    <t>NACE_C1081</t>
  </si>
  <si>
    <t>Jordan</t>
  </si>
  <si>
    <t>country:JO</t>
  </si>
  <si>
    <t>C - 10.82 Manufacture of cocoa, chocolate and sugar confectionery</t>
  </si>
  <si>
    <t>NACE_C1082</t>
  </si>
  <si>
    <t>Japan</t>
  </si>
  <si>
    <t>country:JP</t>
  </si>
  <si>
    <t>C - 10.83 Processing of tea and coffee</t>
  </si>
  <si>
    <t>NACE_C1083</t>
  </si>
  <si>
    <t>Kenya</t>
  </si>
  <si>
    <t>country:KE</t>
  </si>
  <si>
    <t>C - 10.84 Manufacture of condiments and seasonings</t>
  </si>
  <si>
    <t>NACE_C1084</t>
  </si>
  <si>
    <t>Kyrgyzstan</t>
  </si>
  <si>
    <t>country:KG</t>
  </si>
  <si>
    <t>C - 10.85 Manufacture of prepared meals and dishes</t>
  </si>
  <si>
    <t>NACE_C1085</t>
  </si>
  <si>
    <t>Cambodia</t>
  </si>
  <si>
    <t>country:KH</t>
  </si>
  <si>
    <t>C - 10.86 Manufacture of homogenised food preparations and dietetic food</t>
  </si>
  <si>
    <t>NACE_C1086</t>
  </si>
  <si>
    <t>Kiribati</t>
  </si>
  <si>
    <t>country:KI</t>
  </si>
  <si>
    <t>C - 10.89 Manufacture of other food products n.e.c.</t>
  </si>
  <si>
    <t>NACE_C1089</t>
  </si>
  <si>
    <t>Comoros</t>
  </si>
  <si>
    <t>country:KM</t>
  </si>
  <si>
    <t>C - 10.9 Manufacture of prepared animal feeds</t>
  </si>
  <si>
    <t>NACE_C109</t>
  </si>
  <si>
    <t>Saint Kitts and Nevis</t>
  </si>
  <si>
    <t>country:KN</t>
  </si>
  <si>
    <t>C - 10.91 Manufacture of prepared feeds for farm animals</t>
  </si>
  <si>
    <t>NACE_C1091</t>
  </si>
  <si>
    <t>Korea (the Democratic People's Republic of)</t>
  </si>
  <si>
    <t>country:KP</t>
  </si>
  <si>
    <t>C - 10.92 Manufacture of prepared pet foods</t>
  </si>
  <si>
    <t>NACE_C1092</t>
  </si>
  <si>
    <t>Korea (the Republic of)</t>
  </si>
  <si>
    <t>country:KR</t>
  </si>
  <si>
    <t>C - 11 Manufacture of beverages</t>
  </si>
  <si>
    <t>NACE_C11</t>
  </si>
  <si>
    <t>Kuwait</t>
  </si>
  <si>
    <t>country:KW</t>
  </si>
  <si>
    <t>C - 11.0 Manufacture of beverages</t>
  </si>
  <si>
    <t>NACE_C110</t>
  </si>
  <si>
    <t>Cayman Islands</t>
  </si>
  <si>
    <t>country:KY</t>
  </si>
  <si>
    <t>C - 11.01 Distilling, rectifying and blending of spirits</t>
  </si>
  <si>
    <t>NACE_C1101</t>
  </si>
  <si>
    <t>Kazakhstan</t>
  </si>
  <si>
    <t>country:KZ</t>
  </si>
  <si>
    <t>C - 11.02 Manufacture of wine from grape</t>
  </si>
  <si>
    <t>NACE_C1102</t>
  </si>
  <si>
    <t>Lao People's Democratic Republic</t>
  </si>
  <si>
    <t>country:LA</t>
  </si>
  <si>
    <t>C - 11.03 Manufacture of cider and other fermented fruit beverages</t>
  </si>
  <si>
    <t>NACE_C1103</t>
  </si>
  <si>
    <t>Lebanon</t>
  </si>
  <si>
    <t>country:LB</t>
  </si>
  <si>
    <t>C - 11.04 Manufacture of other non-distilled fermented beverages</t>
  </si>
  <si>
    <t>NACE_C1104</t>
  </si>
  <si>
    <t>Saint Lucia</t>
  </si>
  <si>
    <t>country:LC</t>
  </si>
  <si>
    <t>C - 11.05 Manufacture of beer</t>
  </si>
  <si>
    <t>NACE_C1105</t>
  </si>
  <si>
    <t>Liechtenstein</t>
  </si>
  <si>
    <t>country:LI</t>
  </si>
  <si>
    <t>C - 11.06 Manufacture of malt</t>
  </si>
  <si>
    <t>NACE_C1106</t>
  </si>
  <si>
    <t>Sri Lanka</t>
  </si>
  <si>
    <t>country:LK</t>
  </si>
  <si>
    <t>C - 11.07 Manufacture of soft drinks and bottled waters</t>
  </si>
  <si>
    <t>NACE_C1107</t>
  </si>
  <si>
    <t>Liberia</t>
  </si>
  <si>
    <t>country:LR</t>
  </si>
  <si>
    <t>C - 12 Manufacture of tobacco products</t>
  </si>
  <si>
    <t>NACE_C12</t>
  </si>
  <si>
    <t>Lesotho</t>
  </si>
  <si>
    <t>country:LS</t>
  </si>
  <si>
    <t>C - 12.0 Manufacture of tobacco products</t>
  </si>
  <si>
    <t>NACE_C120</t>
  </si>
  <si>
    <t>Lithuania</t>
  </si>
  <si>
    <t>country:LT</t>
  </si>
  <si>
    <t>C - 12.00 Manufacture of tobacco products</t>
  </si>
  <si>
    <t>NACE_C1200</t>
  </si>
  <si>
    <t>Luxembourg</t>
  </si>
  <si>
    <t>country:LU</t>
  </si>
  <si>
    <t>C - 13 Manufacture of textiles</t>
  </si>
  <si>
    <t>NACE_C13</t>
  </si>
  <si>
    <t>Latvia</t>
  </si>
  <si>
    <t>country:LV</t>
  </si>
  <si>
    <t>C - 13.1 Preparation and spinning of textile fibres</t>
  </si>
  <si>
    <t>NACE_C131</t>
  </si>
  <si>
    <t>Libya</t>
  </si>
  <si>
    <t>country:LY</t>
  </si>
  <si>
    <t>C - 13.10 Preparation and spinning of textile fibres</t>
  </si>
  <si>
    <t>NACE_C1310</t>
  </si>
  <si>
    <t>Morocco</t>
  </si>
  <si>
    <t>country:MA</t>
  </si>
  <si>
    <t>C - 13.2 Weaving of textiles</t>
  </si>
  <si>
    <t>NACE_C132</t>
  </si>
  <si>
    <t>Monaco</t>
  </si>
  <si>
    <t>country:MC</t>
  </si>
  <si>
    <t>C - 13.20 Weaving of textiles</t>
  </si>
  <si>
    <t>NACE_C1320</t>
  </si>
  <si>
    <t>Moldova (the Republic of)</t>
  </si>
  <si>
    <t>country:MD</t>
  </si>
  <si>
    <t>C - 13.3 Finishing of textiles</t>
  </si>
  <si>
    <t>NACE_C133</t>
  </si>
  <si>
    <t>Montenegro</t>
  </si>
  <si>
    <t>country:ME</t>
  </si>
  <si>
    <t>C - 13.30 Finishing of textiles</t>
  </si>
  <si>
    <t>NACE_C1330</t>
  </si>
  <si>
    <t>Saint Martin (French part)</t>
  </si>
  <si>
    <t>country:MF</t>
  </si>
  <si>
    <t>C - 13.9 Manufacture of other textiles</t>
  </si>
  <si>
    <t>NACE_C139</t>
  </si>
  <si>
    <t>Madagascar</t>
  </si>
  <si>
    <t>country:MG</t>
  </si>
  <si>
    <t>C - 13.91 Manufacture of knitted and crocheted fabrics</t>
  </si>
  <si>
    <t>NACE_C1391</t>
  </si>
  <si>
    <t>Marshall Islands</t>
  </si>
  <si>
    <t>country:MH</t>
  </si>
  <si>
    <t>C - 13.92 Manufacture of household textiles and made-up furnishing articles</t>
  </si>
  <si>
    <t>NACE_C1392</t>
  </si>
  <si>
    <t>North Macedonia</t>
  </si>
  <si>
    <t>country:MK</t>
  </si>
  <si>
    <t>C - 13.93 Manufacture of carpets and rugs</t>
  </si>
  <si>
    <t>NACE_C1393</t>
  </si>
  <si>
    <t>Mali</t>
  </si>
  <si>
    <t>country:ML</t>
  </si>
  <si>
    <t>C - 13.94 Manufacture of cordage, rope, twine and netting</t>
  </si>
  <si>
    <t>NACE_C1394</t>
  </si>
  <si>
    <t>Myanmar</t>
  </si>
  <si>
    <t>country:MM</t>
  </si>
  <si>
    <t>C - 13.95 Manufacture of non-wovens and non-woven articles</t>
  </si>
  <si>
    <t>NACE_C1395</t>
  </si>
  <si>
    <t>Mongolia</t>
  </si>
  <si>
    <t>country:MN</t>
  </si>
  <si>
    <t>C - 13.96 Manufacture of other technical and industrial textiles</t>
  </si>
  <si>
    <t>NACE_C1396</t>
  </si>
  <si>
    <t>Macao</t>
  </si>
  <si>
    <t>country:MO</t>
  </si>
  <si>
    <t>C - 13.99 Manufacture of other textiles n.e.c.</t>
  </si>
  <si>
    <t>NACE_C1399</t>
  </si>
  <si>
    <t>Northern Mariana Islands</t>
  </si>
  <si>
    <t>country:MP</t>
  </si>
  <si>
    <t>C - 14 Manufacture of wearing apparel</t>
  </si>
  <si>
    <t>NACE_C14</t>
  </si>
  <si>
    <t>Martinique</t>
  </si>
  <si>
    <t>country:MQ</t>
  </si>
  <si>
    <t>C - 14.1 Manufacture of knitted and crocheted apparel</t>
  </si>
  <si>
    <t>NACE_C141</t>
  </si>
  <si>
    <t>Mauritania</t>
  </si>
  <si>
    <t>country:MR</t>
  </si>
  <si>
    <t>C - 14.10 Manufacture of knitted and crocheted apparel</t>
  </si>
  <si>
    <t>NACE_C1410</t>
  </si>
  <si>
    <t>Montserrat</t>
  </si>
  <si>
    <t>country:MS</t>
  </si>
  <si>
    <t>C - 14.2 Manufacture of other wearing apparel and accessories</t>
  </si>
  <si>
    <t>NACE_C142</t>
  </si>
  <si>
    <t>Malta</t>
  </si>
  <si>
    <t>country:MT</t>
  </si>
  <si>
    <t>C - 14.21 Manufacture of outerwear</t>
  </si>
  <si>
    <t>NACE_C1421</t>
  </si>
  <si>
    <t>Mauritius</t>
  </si>
  <si>
    <t>country:MU</t>
  </si>
  <si>
    <t>C - 14.22 Manufacture of underwear</t>
  </si>
  <si>
    <t>NACE_C1422</t>
  </si>
  <si>
    <t>Maldives</t>
  </si>
  <si>
    <t>country:MV</t>
  </si>
  <si>
    <t>C - 14.23 Manufacture of workwear</t>
  </si>
  <si>
    <t>NACE_C1423</t>
  </si>
  <si>
    <t>Malawi</t>
  </si>
  <si>
    <t>country:MW</t>
  </si>
  <si>
    <t>C - 14.24 Manufacture of leather clothes and fur apparel</t>
  </si>
  <si>
    <t>NACE_C1424</t>
  </si>
  <si>
    <t>Mexico</t>
  </si>
  <si>
    <t>country:MX</t>
  </si>
  <si>
    <t>C - 14.29 Manufacture of other wearing apparel and accessories n.e.c.</t>
  </si>
  <si>
    <t>NACE_C1429</t>
  </si>
  <si>
    <t>Malaysia</t>
  </si>
  <si>
    <t>country:MY</t>
  </si>
  <si>
    <t>C - 15 Manufacture of leather and related products of other materials</t>
  </si>
  <si>
    <t>NACE_C15</t>
  </si>
  <si>
    <t>Mozambique</t>
  </si>
  <si>
    <t>country:MZ</t>
  </si>
  <si>
    <t>C - 15.1 Tanning, dyeing, dressing of leather and fur; manufacture of luggage, handbags, saddlery and harness</t>
  </si>
  <si>
    <t>NACE_C151</t>
  </si>
  <si>
    <t>Namibia</t>
  </si>
  <si>
    <t>country:NA</t>
  </si>
  <si>
    <t>C - 15.11 Tanning, dressing, dyeing of leather and fur</t>
  </si>
  <si>
    <t>NACE_C1511</t>
  </si>
  <si>
    <t>New Caledonia</t>
  </si>
  <si>
    <t>country:NC</t>
  </si>
  <si>
    <t>C - 15.12 Manufacture of luggage, handbags, saddlery and harness of any material</t>
  </si>
  <si>
    <t>NACE_C1512</t>
  </si>
  <si>
    <t>Niger</t>
  </si>
  <si>
    <t>country:NE</t>
  </si>
  <si>
    <t>C - 15.2 Manufacture of footwear</t>
  </si>
  <si>
    <t>NACE_C152</t>
  </si>
  <si>
    <t>Norfolk Island</t>
  </si>
  <si>
    <t>country:NF</t>
  </si>
  <si>
    <t>C - 15.20 Manufacture of footwear</t>
  </si>
  <si>
    <t>NACE_C1520</t>
  </si>
  <si>
    <t>Nigeria</t>
  </si>
  <si>
    <t>country:NG</t>
  </si>
  <si>
    <t>C - 16 Manufacture of wood and of products of wood and cork, except furniture; manufacture of articles of straw and plaiting materials</t>
  </si>
  <si>
    <t>NACE_C16</t>
  </si>
  <si>
    <t>Nicaragua</t>
  </si>
  <si>
    <t>country:NI</t>
  </si>
  <si>
    <t>C - 16.1 Sawmilling and planing of wood; processing and finishing of wood</t>
  </si>
  <si>
    <t>NACE_C161</t>
  </si>
  <si>
    <t>Netherlands (Kingdom of the)</t>
  </si>
  <si>
    <t>country:NL</t>
  </si>
  <si>
    <t>C - 16.11 Sawmilling and planing of wood</t>
  </si>
  <si>
    <t>NACE_C1611</t>
  </si>
  <si>
    <t>Norway</t>
  </si>
  <si>
    <t>country:NO</t>
  </si>
  <si>
    <t>C - 16.12 Processing and finishing of wood</t>
  </si>
  <si>
    <t>NACE_C1612</t>
  </si>
  <si>
    <t>Nepal</t>
  </si>
  <si>
    <t>country:NP</t>
  </si>
  <si>
    <t>C - 16.2 Manufacture of products of wood, cork, straw and plaiting materials</t>
  </si>
  <si>
    <t>NACE_C162</t>
  </si>
  <si>
    <t>Nauru</t>
  </si>
  <si>
    <t>country:NR</t>
  </si>
  <si>
    <t>C - 16.21 Manufacture of veneer sheets and wood-based panels</t>
  </si>
  <si>
    <t>NACE_C1621</t>
  </si>
  <si>
    <t>Neutral Zone (before 1993-07-12)</t>
  </si>
  <si>
    <t>country:NT</t>
  </si>
  <si>
    <t>C - 16.22 Manufacture of assembled parquet floors</t>
  </si>
  <si>
    <t>NACE_C1622</t>
  </si>
  <si>
    <t>Niue</t>
  </si>
  <si>
    <t>country:NU</t>
  </si>
  <si>
    <t>C - 16.23 Manufacture of other builders’ carpentry and joinery</t>
  </si>
  <si>
    <t>NACE_C1623</t>
  </si>
  <si>
    <t>New Zealand</t>
  </si>
  <si>
    <t>country:NZ</t>
  </si>
  <si>
    <t>C - 16.24 Manufacture of wooden containers</t>
  </si>
  <si>
    <t>NACE_C1624</t>
  </si>
  <si>
    <t>Oman</t>
  </si>
  <si>
    <t>country:OM</t>
  </si>
  <si>
    <t>C - 16.25 Manufacture of doors and windows of wood</t>
  </si>
  <si>
    <t>NACE_C1625</t>
  </si>
  <si>
    <t>Panama</t>
  </si>
  <si>
    <t>country:PA</t>
  </si>
  <si>
    <t>C - 16.26 Manufacture of solid fuels from vegetable biomass</t>
  </si>
  <si>
    <t>NACE_C1626</t>
  </si>
  <si>
    <t>Peru</t>
  </si>
  <si>
    <t>country:PE</t>
  </si>
  <si>
    <t>C - 16.27 Finishing of wooden products</t>
  </si>
  <si>
    <t>NACE_C1627</t>
  </si>
  <si>
    <t>French Polynesia</t>
  </si>
  <si>
    <t>country:PF</t>
  </si>
  <si>
    <t>C - 16.28 Manufacture of other products of wood and articles of cork, straw and plaiting materials</t>
  </si>
  <si>
    <t>NACE_C1628</t>
  </si>
  <si>
    <t>Papua New Guinea</t>
  </si>
  <si>
    <t>country:PG</t>
  </si>
  <si>
    <t>C - 17 Manufacture of paper and paper products</t>
  </si>
  <si>
    <t>NACE_C17</t>
  </si>
  <si>
    <t>Philippines</t>
  </si>
  <si>
    <t>country:PH</t>
  </si>
  <si>
    <t>C - 17.1 Manufacture of pulp, paper and paperboard</t>
  </si>
  <si>
    <t>NACE_C171</t>
  </si>
  <si>
    <t>Pakistan</t>
  </si>
  <si>
    <t>country:PK</t>
  </si>
  <si>
    <t>C - 17.11 Manufacture of pulp</t>
  </si>
  <si>
    <t>NACE_C1711</t>
  </si>
  <si>
    <t>Poland</t>
  </si>
  <si>
    <t>country:PL</t>
  </si>
  <si>
    <t>C - 17.12 Manufacture of paper and paperboard</t>
  </si>
  <si>
    <t>NACE_C1712</t>
  </si>
  <si>
    <t>Saint Pierre and Miquelon</t>
  </si>
  <si>
    <t>country:PM</t>
  </si>
  <si>
    <t>C - 17.2 Manufacture of articles of paper and paperboard</t>
  </si>
  <si>
    <t>NACE_C172</t>
  </si>
  <si>
    <t>Pitcairn</t>
  </si>
  <si>
    <t>country:PN</t>
  </si>
  <si>
    <t>C - 17.21 Manufacture of corrugated paper, paperboard and containers of paper and paperboard</t>
  </si>
  <si>
    <t>NACE_C1721</t>
  </si>
  <si>
    <t>Puerto Rico</t>
  </si>
  <si>
    <t>country:PR</t>
  </si>
  <si>
    <t>C - 17.22 Manufacture of household and sanitary goods and of toilet requisites</t>
  </si>
  <si>
    <t>NACE_C1722</t>
  </si>
  <si>
    <t>Palestine, State of</t>
  </si>
  <si>
    <t>country:PS</t>
  </si>
  <si>
    <t>C - 17.23 Manufacture of paper stationery</t>
  </si>
  <si>
    <t>NACE_C1723</t>
  </si>
  <si>
    <t>Portugal</t>
  </si>
  <si>
    <t>country:PT</t>
  </si>
  <si>
    <t>C - 17.24 Manufacture of wallpaper</t>
  </si>
  <si>
    <t>NACE_C1724</t>
  </si>
  <si>
    <t>Palau</t>
  </si>
  <si>
    <t>country:PW</t>
  </si>
  <si>
    <t>C - 17.25 Manufacture of other articles of paper and paperboard</t>
  </si>
  <si>
    <t>NACE_C1725</t>
  </si>
  <si>
    <t>Paraguay</t>
  </si>
  <si>
    <t>country:PY</t>
  </si>
  <si>
    <t>C - 18 Printing and reproduction of recorded media</t>
  </si>
  <si>
    <t>NACE_C18</t>
  </si>
  <si>
    <t>Qatar</t>
  </si>
  <si>
    <t>country:QA</t>
  </si>
  <si>
    <t>C - 18.1 Printing and service activities related to printing</t>
  </si>
  <si>
    <t>NACE_C181</t>
  </si>
  <si>
    <t>Réunion</t>
  </si>
  <si>
    <t>country:RE</t>
  </si>
  <si>
    <t>C - 18.11 Printing of newspapers</t>
  </si>
  <si>
    <t>NACE_C1811</t>
  </si>
  <si>
    <t>Romania</t>
  </si>
  <si>
    <t>country:RO</t>
  </si>
  <si>
    <t>C - 18.12 Other printing</t>
  </si>
  <si>
    <t>NACE_C1812</t>
  </si>
  <si>
    <t>Serbia</t>
  </si>
  <si>
    <t>country:RS</t>
  </si>
  <si>
    <t>C - 18.13 Pre-press and pre-media services</t>
  </si>
  <si>
    <t>NACE_C1813</t>
  </si>
  <si>
    <t>Russian Federation</t>
  </si>
  <si>
    <t>country:RU</t>
  </si>
  <si>
    <t>C - 18.14 Binding and related services</t>
  </si>
  <si>
    <t>NACE_C1814</t>
  </si>
  <si>
    <t>Rwanda</t>
  </si>
  <si>
    <t>country:RW</t>
  </si>
  <si>
    <t>C - 18.2 Reproduction of recorded media</t>
  </si>
  <si>
    <t>NACE_C182</t>
  </si>
  <si>
    <t>Saudi Arabia</t>
  </si>
  <si>
    <t>country:SA</t>
  </si>
  <si>
    <t>C - 18.20 Reproduction of recorded media</t>
  </si>
  <si>
    <t>NACE_C1820</t>
  </si>
  <si>
    <t>Solomon Islands</t>
  </si>
  <si>
    <t>country:SB</t>
  </si>
  <si>
    <t>C - 19 Manufacture of coke and refined petroleum products</t>
  </si>
  <si>
    <t>NACE_C19</t>
  </si>
  <si>
    <t>Seychelles</t>
  </si>
  <si>
    <t>country:SC</t>
  </si>
  <si>
    <t>C - 19.1 Manufacture of coke oven products</t>
  </si>
  <si>
    <t>NACE_C191</t>
  </si>
  <si>
    <t>Sudan</t>
  </si>
  <si>
    <t>country:SD</t>
  </si>
  <si>
    <t>C - 19.10 Manufacture of coke oven products</t>
  </si>
  <si>
    <t>NACE_C1910</t>
  </si>
  <si>
    <t>Sweden</t>
  </si>
  <si>
    <t>country:SE</t>
  </si>
  <si>
    <t>C - 19.2 Manufacture of refined petroleum products and fossil fuel products</t>
  </si>
  <si>
    <t>NACE_C192</t>
  </si>
  <si>
    <t>Singapore</t>
  </si>
  <si>
    <t>country:SG</t>
  </si>
  <si>
    <t>C - 19.20 Manufacture of refined petroleum products and fossil fuel products</t>
  </si>
  <si>
    <t>NACE_C1920</t>
  </si>
  <si>
    <t>Saint Helena, Ascension and Tristan da Cunha</t>
  </si>
  <si>
    <t>country:SH</t>
  </si>
  <si>
    <t>C - 20 Manufacture of chemicals and chemical products</t>
  </si>
  <si>
    <t>NACE_C20</t>
  </si>
  <si>
    <t>Slovenia</t>
  </si>
  <si>
    <t>country:SI</t>
  </si>
  <si>
    <t>C - 20.1 Manufacture of basic chemicals, fertilisers and nitrogen compounds, plastics and synthetic rubber in primary forms</t>
  </si>
  <si>
    <t>NACE_C201</t>
  </si>
  <si>
    <t>Svalbard and Jan Mayen</t>
  </si>
  <si>
    <t>country:SJ</t>
  </si>
  <si>
    <t>C - 20.11 Manufacture of industrial gases</t>
  </si>
  <si>
    <t>NACE_C2011</t>
  </si>
  <si>
    <t>Slovakia</t>
  </si>
  <si>
    <t>country:SK</t>
  </si>
  <si>
    <t>C - 20.12 Manufacture of dyes and pigments</t>
  </si>
  <si>
    <t>NACE_C2012</t>
  </si>
  <si>
    <t>Sierra Leone</t>
  </si>
  <si>
    <t>country:SL</t>
  </si>
  <si>
    <t>C - 20.13 Manufacture of other inorganic basic chemicals</t>
  </si>
  <si>
    <t>NACE_C2013</t>
  </si>
  <si>
    <t>San Marino</t>
  </si>
  <si>
    <t>country:SM</t>
  </si>
  <si>
    <t>C - 20.14 Manufacture of other organic basic chemicals</t>
  </si>
  <si>
    <t>NACE_C2014</t>
  </si>
  <si>
    <t>Senegal</t>
  </si>
  <si>
    <t>country:SN</t>
  </si>
  <si>
    <t>C - 20.15 Manufacture of fertilisers and nitrogen compounds</t>
  </si>
  <si>
    <t>NACE_C2015</t>
  </si>
  <si>
    <t>Somalia</t>
  </si>
  <si>
    <t>country:SO</t>
  </si>
  <si>
    <t>C - 20.16 Manufacture of plastics in primary forms</t>
  </si>
  <si>
    <t>NACE_C2016</t>
  </si>
  <si>
    <t>Suriname</t>
  </si>
  <si>
    <t>country:SR</t>
  </si>
  <si>
    <t>C - 20.17 Manufacture of synthetic rubber in primary forms</t>
  </si>
  <si>
    <t>NACE_C2017</t>
  </si>
  <si>
    <t>South Sudan</t>
  </si>
  <si>
    <t>country:SS</t>
  </si>
  <si>
    <t>C - 20.2 Manufacture of pesticides, disinfectants and other agrochemical products</t>
  </si>
  <si>
    <t>NACE_C202</t>
  </si>
  <si>
    <t>Sao Tome and Principe</t>
  </si>
  <si>
    <t>country:ST</t>
  </si>
  <si>
    <t>C - 20.20 Manufacture of pesticides, disinfectants and other agrochemical products</t>
  </si>
  <si>
    <t>NACE_C2020</t>
  </si>
  <si>
    <t>El Salvador</t>
  </si>
  <si>
    <t>country:SV</t>
  </si>
  <si>
    <t>C - 20.3 Manufacture of paints, varnishes and similar coatings, printing ink and mastics</t>
  </si>
  <si>
    <t>NACE_C203</t>
  </si>
  <si>
    <t>Sint Maarten (Dutch part)</t>
  </si>
  <si>
    <t>country:SX</t>
  </si>
  <si>
    <t>C - 20.30 Manufacture of paints, varnishes and similar coatings, printing ink and mastics</t>
  </si>
  <si>
    <t>NACE_C2030</t>
  </si>
  <si>
    <t>Syrian Arab Republic</t>
  </si>
  <si>
    <t>country:SY</t>
  </si>
  <si>
    <t>C - 20.4 Manufacture of washing, cleaning and polishing preparations</t>
  </si>
  <si>
    <t>NACE_C204</t>
  </si>
  <si>
    <t>Eswatini</t>
  </si>
  <si>
    <t>country:SZ</t>
  </si>
  <si>
    <t>C - 20.41 Manufacture of soap and detergents, cleaning and polishing preparations</t>
  </si>
  <si>
    <t>NACE_C2041</t>
  </si>
  <si>
    <t>Turks and Caicos Islands</t>
  </si>
  <si>
    <t>country:TC</t>
  </si>
  <si>
    <t>C - 20.42 Manufacture of perfume and toilet preparations</t>
  </si>
  <si>
    <t>NACE_C2042</t>
  </si>
  <si>
    <t>Chad</t>
  </si>
  <si>
    <t>country:TD</t>
  </si>
  <si>
    <t>C - 20.5 Manufacture of other chemical products</t>
  </si>
  <si>
    <t>NACE_C205</t>
  </si>
  <si>
    <t>French Southern Territories</t>
  </si>
  <si>
    <t>country:TF</t>
  </si>
  <si>
    <t>C - 20.51 Manufacture of liquid biofuels</t>
  </si>
  <si>
    <t>NACE_C2051</t>
  </si>
  <si>
    <t>Togo</t>
  </si>
  <si>
    <t>country:TG</t>
  </si>
  <si>
    <t>C - 20.59 Manufacture of other chemical products n.e.c.</t>
  </si>
  <si>
    <t>NACE_C2059</t>
  </si>
  <si>
    <t>Thailand</t>
  </si>
  <si>
    <t>country:TH</t>
  </si>
  <si>
    <t>C - 20.6 Manufacture of man-made fibres</t>
  </si>
  <si>
    <t>NACE_C206</t>
  </si>
  <si>
    <t>Tajikistan</t>
  </si>
  <si>
    <t>country:TJ</t>
  </si>
  <si>
    <t>C - 20.60 Manufacture of man-made fibres</t>
  </si>
  <si>
    <t>NACE_C2060</t>
  </si>
  <si>
    <t>Tokelau</t>
  </si>
  <si>
    <t>country:TK</t>
  </si>
  <si>
    <t>C - 21 Manufacture of basic pharmaceutical products and pharmaceutical preparations</t>
  </si>
  <si>
    <t>NACE_C21</t>
  </si>
  <si>
    <t>Timor-Leste</t>
  </si>
  <si>
    <t>country:TL</t>
  </si>
  <si>
    <t>C - 21.1 Manufacture of basic pharmaceutical products</t>
  </si>
  <si>
    <t>NACE_C211</t>
  </si>
  <si>
    <t>Turkmenistan</t>
  </si>
  <si>
    <t>country:TM</t>
  </si>
  <si>
    <t>C - 21.10 Manufacture of basic pharmaceutical products</t>
  </si>
  <si>
    <t>NACE_C2110</t>
  </si>
  <si>
    <t>Tunisia</t>
  </si>
  <si>
    <t>country:TN</t>
  </si>
  <si>
    <t>C - 21.2 Manufacture of pharmaceutical preparations</t>
  </si>
  <si>
    <t>NACE_C212</t>
  </si>
  <si>
    <t>Tonga</t>
  </si>
  <si>
    <t>country:TO</t>
  </si>
  <si>
    <t>C - 21.20 Manufacture of pharmaceutical preparations</t>
  </si>
  <si>
    <t>NACE_C2120</t>
  </si>
  <si>
    <t>East Timor (before 2002-05-20)</t>
  </si>
  <si>
    <t>country:TP</t>
  </si>
  <si>
    <t>C - 22 Manufacture of rubber and plastic products</t>
  </si>
  <si>
    <t>NACE_C22</t>
  </si>
  <si>
    <t>Türkiye</t>
  </si>
  <si>
    <t>country:TR</t>
  </si>
  <si>
    <t>C - 22.1 Manufacture of rubber products</t>
  </si>
  <si>
    <t>NACE_C221</t>
  </si>
  <si>
    <t>Trinidad and Tobago</t>
  </si>
  <si>
    <t>country:TT</t>
  </si>
  <si>
    <t>C - 22.11 Manufacture, retreading and rebuilding of rubber tyres and manufacture of tubes</t>
  </si>
  <si>
    <t>NACE_C2211</t>
  </si>
  <si>
    <t>Tuvalu</t>
  </si>
  <si>
    <t>country:TV</t>
  </si>
  <si>
    <t>C - 22.12 Manufacture of other rubber products</t>
  </si>
  <si>
    <t>NACE_C2212</t>
  </si>
  <si>
    <t>Taiwan (Province of China)</t>
  </si>
  <si>
    <t>country:TW</t>
  </si>
  <si>
    <t>C - 22.2 Manufacture of plastic products</t>
  </si>
  <si>
    <t>NACE_C222</t>
  </si>
  <si>
    <t>Tanzania, the United Republic of</t>
  </si>
  <si>
    <t>country:TZ</t>
  </si>
  <si>
    <t>C - 22.21 Manufacture of plastic plates, sheets, tubes and profiles</t>
  </si>
  <si>
    <t>NACE_C2221</t>
  </si>
  <si>
    <t>Ukraine</t>
  </si>
  <si>
    <t>country:UA</t>
  </si>
  <si>
    <t>C - 22.22 Manufacture of plastic packing goods</t>
  </si>
  <si>
    <t>NACE_C2222</t>
  </si>
  <si>
    <t>Uganda</t>
  </si>
  <si>
    <t>country:UG</t>
  </si>
  <si>
    <t>C - 22.23 Manufacture of doors and windows of plastic</t>
  </si>
  <si>
    <t>NACE_C2223</t>
  </si>
  <si>
    <t>United States Minor Outlying Islands</t>
  </si>
  <si>
    <t>country:UM</t>
  </si>
  <si>
    <t>C - 22.24 Manufacture of builders’ ware of plastic</t>
  </si>
  <si>
    <t>NACE_C2224</t>
  </si>
  <si>
    <t>United States of America</t>
  </si>
  <si>
    <t>country:US</t>
  </si>
  <si>
    <t>C - 22.25 Processing and finishing of plastic products</t>
  </si>
  <si>
    <t>NACE_C2225</t>
  </si>
  <si>
    <t>Uruguay</t>
  </si>
  <si>
    <t>country:UY</t>
  </si>
  <si>
    <t>C - 22.26 Manufacture of other plastic products</t>
  </si>
  <si>
    <t>NACE_C2226</t>
  </si>
  <si>
    <t>Uzbekistan</t>
  </si>
  <si>
    <t>country:UZ</t>
  </si>
  <si>
    <t>C - 23 Manufacture of other non-metallic mineral products</t>
  </si>
  <si>
    <t>NACE_C23</t>
  </si>
  <si>
    <t>Holy See</t>
  </si>
  <si>
    <t>country:VA</t>
  </si>
  <si>
    <t>C - 23.1 Manufacture of glass and glass products</t>
  </si>
  <si>
    <t>NACE_C231</t>
  </si>
  <si>
    <t>Saint Vincent and the Grenadines</t>
  </si>
  <si>
    <t>country:VC</t>
  </si>
  <si>
    <t>C - 23.11 Manufacture of flat glass</t>
  </si>
  <si>
    <t>NACE_C2311</t>
  </si>
  <si>
    <t>Venezuela (Bolivarian Republic of)</t>
  </si>
  <si>
    <t>country:VE</t>
  </si>
  <si>
    <t>C - 23.12 Shaping and processing of flat glass</t>
  </si>
  <si>
    <t>NACE_C2312</t>
  </si>
  <si>
    <t>Virgin Islands (British)</t>
  </si>
  <si>
    <t>country:VG</t>
  </si>
  <si>
    <t>C - 23.13 Manufacture of hollow glass</t>
  </si>
  <si>
    <t>NACE_C2313</t>
  </si>
  <si>
    <t>Virgin Islands (U.S.)</t>
  </si>
  <si>
    <t>country:VI</t>
  </si>
  <si>
    <t>C - 23.14 Manufacture of glass fibres</t>
  </si>
  <si>
    <t>NACE_C2314</t>
  </si>
  <si>
    <t>Viet Nam</t>
  </si>
  <si>
    <t>country:VN</t>
  </si>
  <si>
    <t>C - 23.15 Manufacture and processing of other glass, including technical glassware</t>
  </si>
  <si>
    <t>NACE_C2315</t>
  </si>
  <si>
    <t>Vanuatu</t>
  </si>
  <si>
    <t>country:VU</t>
  </si>
  <si>
    <t>C - 23.2 Manufacture of refractory products</t>
  </si>
  <si>
    <t>NACE_C232</t>
  </si>
  <si>
    <t>Wallis and Futuna</t>
  </si>
  <si>
    <t>country:WF</t>
  </si>
  <si>
    <t>C - 23.20 Manufacture of refractory products</t>
  </si>
  <si>
    <t>NACE_C2320</t>
  </si>
  <si>
    <t>Samoa</t>
  </si>
  <si>
    <t>country:WS</t>
  </si>
  <si>
    <t>C - 23.3 Manufacture of clay building materials</t>
  </si>
  <si>
    <t>NACE_C233</t>
  </si>
  <si>
    <t>Yemen</t>
  </si>
  <si>
    <t>country:YE</t>
  </si>
  <si>
    <t>C - 23.31 Manufacture of ceramic tiles and flags</t>
  </si>
  <si>
    <t>NACE_C2331</t>
  </si>
  <si>
    <t>Mayotte</t>
  </si>
  <si>
    <t>country:YT</t>
  </si>
  <si>
    <t>C - 23.32 Manufacture of bricks, tiles and construction products, in baked clay</t>
  </si>
  <si>
    <t>NACE_C2332</t>
  </si>
  <si>
    <t>Yugoslavia (before 2003-07-23)</t>
  </si>
  <si>
    <t>country:YU</t>
  </si>
  <si>
    <t>C - 23.4 Manufacture of other porcelain and ceramic products</t>
  </si>
  <si>
    <t>NACE_C234</t>
  </si>
  <si>
    <t>South Africa</t>
  </si>
  <si>
    <t>country:ZA</t>
  </si>
  <si>
    <t>C - 23.41 Manufacture of ceramic household and ornamental articles</t>
  </si>
  <si>
    <t>NACE_C2341</t>
  </si>
  <si>
    <t>Zambia</t>
  </si>
  <si>
    <t>country:ZM</t>
  </si>
  <si>
    <t>C - 23.42 Manufacture of ceramic sanitary fixtures</t>
  </si>
  <si>
    <t>NACE_C2342</t>
  </si>
  <si>
    <t>Zaire (before 1997-07-14)</t>
  </si>
  <si>
    <t>country:ZR</t>
  </si>
  <si>
    <t>C - 23.43 Manufacture of ceramic insulators and insulating fittings</t>
  </si>
  <si>
    <t>NACE_C2343</t>
  </si>
  <si>
    <t>Zimbabwe</t>
  </si>
  <si>
    <t>country:ZW</t>
  </si>
  <si>
    <t>C - 23.44 Manufacture of other technical ceramic products</t>
  </si>
  <si>
    <t>NACE_C2344</t>
  </si>
  <si>
    <t>C - 23.45 Manufacture of other ceramic products</t>
  </si>
  <si>
    <t>NACE_C2345</t>
  </si>
  <si>
    <t>C - 23.5 Manufacture of cement, lime and plaster</t>
  </si>
  <si>
    <t>NACE_C235</t>
  </si>
  <si>
    <t>C - 23.51 Manufacture of cement</t>
  </si>
  <si>
    <t>NACE_C2351</t>
  </si>
  <si>
    <t>C - 23.52 Manufacture of lime and plaster</t>
  </si>
  <si>
    <t>NACE_C2352</t>
  </si>
  <si>
    <t>C - 23.6 Manufacture of articles of concrete, cement and plaster</t>
  </si>
  <si>
    <t>NACE_C236</t>
  </si>
  <si>
    <t>C - 23.61 Manufacture of concrete products for construction purposes</t>
  </si>
  <si>
    <t>NACE_C2361</t>
  </si>
  <si>
    <t>C - 23.62 Manufacture of plaster products for construction purposes</t>
  </si>
  <si>
    <t>NACE_C2362</t>
  </si>
  <si>
    <t>C - 23.63 Manufacture of ready-mixed concrete</t>
  </si>
  <si>
    <t>NACE_C2363</t>
  </si>
  <si>
    <t>C - 23.64 Manufacture of mortars</t>
  </si>
  <si>
    <t>NACE_C2364</t>
  </si>
  <si>
    <t>C - 23.65 Manufacture of fibre cement</t>
  </si>
  <si>
    <t>NACE_C2365</t>
  </si>
  <si>
    <t>C - 23.66 Manufacture of other articles of concrete, cement and plaster</t>
  </si>
  <si>
    <t>NACE_C2366</t>
  </si>
  <si>
    <t>C - 23.7 Cutting, shaping and finishing of stone</t>
  </si>
  <si>
    <t>NACE_C237</t>
  </si>
  <si>
    <t>C - 23.70 Cutting, shaping and finishing of stone</t>
  </si>
  <si>
    <t>NACE_C2370</t>
  </si>
  <si>
    <t>C - 23.9 Manufacture of abrasive products and non-metallic mineral products n.e.c.</t>
  </si>
  <si>
    <t>NACE_C239</t>
  </si>
  <si>
    <t>C - 23.91 Manufacture of abrasive products</t>
  </si>
  <si>
    <t>NACE_C2391</t>
  </si>
  <si>
    <t>C - 23.99 Manufacture of other non-metallic mineral products n.e.c.</t>
  </si>
  <si>
    <t>NACE_C2399</t>
  </si>
  <si>
    <t>C - 24 Manufacture of basic metals</t>
  </si>
  <si>
    <t>NACE_C24</t>
  </si>
  <si>
    <t>C - 24.1 Manufacture of basic iron and steel and of ferro-alloys</t>
  </si>
  <si>
    <t>NACE_C241</t>
  </si>
  <si>
    <t>C - 24.10 Manufacture of basic iron and steel and of ferro-alloys</t>
  </si>
  <si>
    <t>NACE_C2410</t>
  </si>
  <si>
    <t>C - 24.2 Manufacture of tubes, pipes, hollow profiles and related fittings, of steel</t>
  </si>
  <si>
    <t>NACE_C242</t>
  </si>
  <si>
    <t>C - 24.20 Manufacture of tubes, pipes, hollow profiles and related fittings, of steel</t>
  </si>
  <si>
    <t>NACE_C2420</t>
  </si>
  <si>
    <t>C - 24.3 Manufacture of other products of first processing of steel</t>
  </si>
  <si>
    <t>NACE_C243</t>
  </si>
  <si>
    <t>C - 24.31 Cold drawing of bars</t>
  </si>
  <si>
    <t>NACE_C2431</t>
  </si>
  <si>
    <t>C - 24.32 Cold rolling of narrow strip</t>
  </si>
  <si>
    <t>NACE_C2432</t>
  </si>
  <si>
    <t>C - 24.33 Cold forming or folding</t>
  </si>
  <si>
    <t>NACE_C2433</t>
  </si>
  <si>
    <t>C - 24.34 Cold drawing of wire</t>
  </si>
  <si>
    <t>NACE_C2434</t>
  </si>
  <si>
    <t>C - 24.4 Manufacture of basic precious and other non-ferrous metals</t>
  </si>
  <si>
    <t>NACE_C244</t>
  </si>
  <si>
    <t>C - 24.41 Precious metals production</t>
  </si>
  <si>
    <t>NACE_C2441</t>
  </si>
  <si>
    <t>C - 24.42 Aluminium production</t>
  </si>
  <si>
    <t>NACE_C2442</t>
  </si>
  <si>
    <t>C - 24.43 Lead, zinc and tin production</t>
  </si>
  <si>
    <t>NACE_C2443</t>
  </si>
  <si>
    <t>C - 24.44 Copper production</t>
  </si>
  <si>
    <t>NACE_C2444</t>
  </si>
  <si>
    <t>C - 24.45 Other non-ferrous metal production</t>
  </si>
  <si>
    <t>NACE_C2445</t>
  </si>
  <si>
    <t>C - 24.46 Processing of nuclear fuel</t>
  </si>
  <si>
    <t>NACE_C2446</t>
  </si>
  <si>
    <t>C - 24.5 Casting of metals</t>
  </si>
  <si>
    <t>NACE_C245</t>
  </si>
  <si>
    <t>C - 24.51 Casting of iron</t>
  </si>
  <si>
    <t>NACE_C2451</t>
  </si>
  <si>
    <t>C - 24.52 Casting of steel</t>
  </si>
  <si>
    <t>NACE_C2452</t>
  </si>
  <si>
    <t>C - 24.53 Casting of light metals</t>
  </si>
  <si>
    <t>NACE_C2453</t>
  </si>
  <si>
    <t>C - 24.54 Casting of other non-ferrous metals</t>
  </si>
  <si>
    <t>NACE_C2454</t>
  </si>
  <si>
    <t>C - 25 Manufacture of fabricated metal products, except machinery and equipment</t>
  </si>
  <si>
    <t>NACE_C25</t>
  </si>
  <si>
    <t>C - 25.1 Manufacture of structural metal products</t>
  </si>
  <si>
    <t>NACE_C251</t>
  </si>
  <si>
    <t>C - 25.11 Manufacture of metal structures and parts of structures</t>
  </si>
  <si>
    <t>NACE_C2511</t>
  </si>
  <si>
    <t>C - 25.12 Manufacture of doors and windows of metal</t>
  </si>
  <si>
    <t>NACE_C2512</t>
  </si>
  <si>
    <t>C - 25.2 Manufacture of tanks, reservoirs and containers of metal</t>
  </si>
  <si>
    <t>NACE_C252</t>
  </si>
  <si>
    <t>C - 25.21 Manufacture of central heating radiators, steam generators and boilers</t>
  </si>
  <si>
    <t>NACE_C2521</t>
  </si>
  <si>
    <t>C - 25.22 Manufacture of other tanks, reservoirs and containers of metal</t>
  </si>
  <si>
    <t>NACE_C2522</t>
  </si>
  <si>
    <t>C - 25.3 Manufacture of weapons and ammunition</t>
  </si>
  <si>
    <t>NACE_C253</t>
  </si>
  <si>
    <t>C - 25.30 Manufacture of weapons and ammunition</t>
  </si>
  <si>
    <t>NACE_C2530</t>
  </si>
  <si>
    <t>C - 25.4 Forging and shaping metal and powder metallurgy</t>
  </si>
  <si>
    <t>NACE_C254</t>
  </si>
  <si>
    <t>C - 25.40 Forging and shaping metal and powder metallurgy</t>
  </si>
  <si>
    <t>NACE_C2540</t>
  </si>
  <si>
    <t>C - 25.5 Treatment and coating of metals; machining</t>
  </si>
  <si>
    <t>NACE_C255</t>
  </si>
  <si>
    <t>C - 25.51 Coating of metals</t>
  </si>
  <si>
    <t>NACE_C2551</t>
  </si>
  <si>
    <t>C - 25.52 Heat treatment of metals</t>
  </si>
  <si>
    <t>NACE_C2552</t>
  </si>
  <si>
    <t>C - 25.53 Machining of metals</t>
  </si>
  <si>
    <t>NACE_C2553</t>
  </si>
  <si>
    <t>C - 25.6 Manufacture of cutlery, tools and general hardware</t>
  </si>
  <si>
    <t>NACE_C256</t>
  </si>
  <si>
    <t>C - 25.61 Manufacture of cutlery</t>
  </si>
  <si>
    <t>NACE_C2561</t>
  </si>
  <si>
    <t>C - 25.62 Manufacture of locks and hinges</t>
  </si>
  <si>
    <t>NACE_C2562</t>
  </si>
  <si>
    <t>C - 25.63 Manufacture of tools</t>
  </si>
  <si>
    <t>NACE_C2563</t>
  </si>
  <si>
    <t>C - 25.9 Manufacture of other fabricated metal products</t>
  </si>
  <si>
    <t>NACE_C259</t>
  </si>
  <si>
    <t>C - 25.91 Manufacture of steel drums and similar containers</t>
  </si>
  <si>
    <t>NACE_C2591</t>
  </si>
  <si>
    <t>C - 25.92 Manufacture of light metal packaging</t>
  </si>
  <si>
    <t>NACE_C2592</t>
  </si>
  <si>
    <t>C - 25.93 Manufacture of wire products, chain and springs</t>
  </si>
  <si>
    <t>NACE_C2593</t>
  </si>
  <si>
    <t>C - 25.94 Manufacture of fasteners and screw machine products</t>
  </si>
  <si>
    <t>NACE_C2594</t>
  </si>
  <si>
    <t>C - 25.99 Manufacture of other fabricated metal products n.e.c.</t>
  </si>
  <si>
    <t>NACE_C2599</t>
  </si>
  <si>
    <t>C - 26 Manufacture of computer, electronic and optical products</t>
  </si>
  <si>
    <t>NACE_C26</t>
  </si>
  <si>
    <t>C - 26.1 Manufacture of electronic components and boards</t>
  </si>
  <si>
    <t>NACE_C261</t>
  </si>
  <si>
    <t>C - 26.11 Manufacture of electronic components</t>
  </si>
  <si>
    <t>NACE_C2611</t>
  </si>
  <si>
    <t>C - 26.12 Manufacture of loaded electronic boards</t>
  </si>
  <si>
    <t>NACE_C2612</t>
  </si>
  <si>
    <t>C - 26.2 Manufacture of computers and peripheral equipment</t>
  </si>
  <si>
    <t>NACE_C262</t>
  </si>
  <si>
    <t>C - 26.20 Manufacture of computers and peripheral equipment</t>
  </si>
  <si>
    <t>NACE_C2620</t>
  </si>
  <si>
    <t>C - 26.3 Manufacture of communication equipment</t>
  </si>
  <si>
    <t>NACE_C263</t>
  </si>
  <si>
    <t>C - 26.30 Manufacture of communication equipment</t>
  </si>
  <si>
    <t>NACE_C2630</t>
  </si>
  <si>
    <t>C - 26.4 Manufacture of consumer electronics</t>
  </si>
  <si>
    <t>NACE_C264</t>
  </si>
  <si>
    <t>C - 26.40 Manufacture of consumer electronics</t>
  </si>
  <si>
    <t>NACE_C2640</t>
  </si>
  <si>
    <t>C - 26.5 Manufacture of measuring testing instruments, clocks and watches</t>
  </si>
  <si>
    <t>NACE_C265</t>
  </si>
  <si>
    <t>C - 26.51 Manufacture of instruments and appliances for measuring, testing and navigation</t>
  </si>
  <si>
    <t>NACE_C2651</t>
  </si>
  <si>
    <t>C - 26.52 Manufacture of watches and clocks</t>
  </si>
  <si>
    <t>NACE_C2652</t>
  </si>
  <si>
    <t>C - 26.6 Manufacture of irradiation, electromedical and electrotherapeutic equipment</t>
  </si>
  <si>
    <t>NACE_C266</t>
  </si>
  <si>
    <t>C - 26.60 Manufacture of irradiation, electromedical and electrotherapeutic equipment</t>
  </si>
  <si>
    <t>NACE_C2660</t>
  </si>
  <si>
    <t>C - 26.7 Manufacture of optical instruments, magnetic and optical media and photographic equipment</t>
  </si>
  <si>
    <t>NACE_C267</t>
  </si>
  <si>
    <t>C - 26.70 Manufacture of optical instruments, magnetic and optical media and photographic equipment</t>
  </si>
  <si>
    <t>NACE_C2670</t>
  </si>
  <si>
    <t>C - 27 Manufacture of electrical equipment</t>
  </si>
  <si>
    <t>NACE_C27</t>
  </si>
  <si>
    <t>C - 27.1 Manufacture of electric motors, generators, transformers and electricity distribution and control apparatus</t>
  </si>
  <si>
    <t>NACE_C271</t>
  </si>
  <si>
    <t>C - 27.11 Manufacture of electric motors, generators and transformers</t>
  </si>
  <si>
    <t>NACE_C2711</t>
  </si>
  <si>
    <t>C - 27.12 Manufacture of electricity distribution and control apparatus</t>
  </si>
  <si>
    <t>NACE_C2712</t>
  </si>
  <si>
    <t>C - 27.2 Manufacture of batteries and accumulators</t>
  </si>
  <si>
    <t>NACE_C272</t>
  </si>
  <si>
    <t>C - 27.20 Manufacture of batteries and accumulators</t>
  </si>
  <si>
    <t>NACE_C2720</t>
  </si>
  <si>
    <t>C - 27.3 Manufacture of wiring and wiring devices</t>
  </si>
  <si>
    <t>NACE_C273</t>
  </si>
  <si>
    <t>C - 27.31 Manufacture of fibre optic cables</t>
  </si>
  <si>
    <t>NACE_C2731</t>
  </si>
  <si>
    <t>C - 27.32 Manufacture of other electronic and electric wires and cables</t>
  </si>
  <si>
    <t>NACE_C2732</t>
  </si>
  <si>
    <t>C - 27.33 Manufacture of wiring devices</t>
  </si>
  <si>
    <t>NACE_C2733</t>
  </si>
  <si>
    <t>C - 27.4 Manufacture of lighting equipment</t>
  </si>
  <si>
    <t>NACE_C274</t>
  </si>
  <si>
    <t>C - 27.40 Manufacture of lighting equipment</t>
  </si>
  <si>
    <t>NACE_C2740</t>
  </si>
  <si>
    <t>C - 27.5 Manufacture of domestic appliances</t>
  </si>
  <si>
    <t>NACE_C275</t>
  </si>
  <si>
    <t>C - 27.51 Manufacture of electric domestic appliances</t>
  </si>
  <si>
    <t>NACE_C2751</t>
  </si>
  <si>
    <t>C - 27.52 Manufacture of non-electric domestic appliances</t>
  </si>
  <si>
    <t>NACE_C2752</t>
  </si>
  <si>
    <t>C - 27.9 Manufacture of other electrical equipment</t>
  </si>
  <si>
    <t>NACE_C279</t>
  </si>
  <si>
    <t>C - 27.90 Manufacture of other electrical equipment</t>
  </si>
  <si>
    <t>NACE_C2790</t>
  </si>
  <si>
    <t>C - 28 Manufacture of machinery and equipment n.e.c.</t>
  </si>
  <si>
    <t>NACE_C28</t>
  </si>
  <si>
    <t>C - 28.1 Manufacture of general-purpose machinery</t>
  </si>
  <si>
    <t>NACE_C281</t>
  </si>
  <si>
    <t>C - 28.11 Manufacture of engines and turbines, except aircraft, vehicle and cycle engines</t>
  </si>
  <si>
    <t>NACE_C2811</t>
  </si>
  <si>
    <t>C - 28.12 Manufacture of fluid power equipment</t>
  </si>
  <si>
    <t>NACE_C2812</t>
  </si>
  <si>
    <t>C - 28.13 Manufacture of other pumps and compressors</t>
  </si>
  <si>
    <t>NACE_C2813</t>
  </si>
  <si>
    <t>C - 28.14 Manufacture of other taps and valves</t>
  </si>
  <si>
    <t>NACE_C2814</t>
  </si>
  <si>
    <t>C - 28.15 Manufacture of bearings, gears, gearing and driving elements</t>
  </si>
  <si>
    <t>NACE_C2815</t>
  </si>
  <si>
    <t>C - 28.2 Manufacture of other general-purpose machinery</t>
  </si>
  <si>
    <t>NACE_C282</t>
  </si>
  <si>
    <t>C - 28.21 Manufacture of ovens, furnaces and permanent household heating equipment</t>
  </si>
  <si>
    <t>NACE_C2821</t>
  </si>
  <si>
    <t>C - 28.22 Manufacture of lifting and handling equipment</t>
  </si>
  <si>
    <t>NACE_C2822</t>
  </si>
  <si>
    <t>C - 28.23 Manufacture of office machinery and equipment, except computers and peripheral equipment</t>
  </si>
  <si>
    <t>NACE_C2823</t>
  </si>
  <si>
    <t>C - 28.24 Manufacture of power-driven hand tools</t>
  </si>
  <si>
    <t>NACE_C2824</t>
  </si>
  <si>
    <t>C - 28.25 Manufacture of non-domestic air conditioning equipment</t>
  </si>
  <si>
    <t>NACE_C2825</t>
  </si>
  <si>
    <t>C - 28.29 Manufacture of other general-purpose machinery n.e.c.</t>
  </si>
  <si>
    <t>NACE_C2829</t>
  </si>
  <si>
    <t>C - 28.3 Manufacture of agricultural and forestry machinery</t>
  </si>
  <si>
    <t>NACE_C283</t>
  </si>
  <si>
    <t>C - 28.30 Manufacture of agricultural and forestry machinery</t>
  </si>
  <si>
    <t>NACE_C2830</t>
  </si>
  <si>
    <t>C - 28.4 Manufacture of metal forming machinery and machine tools</t>
  </si>
  <si>
    <t>NACE_C284</t>
  </si>
  <si>
    <t>C - 28.41 Manufacture of metal forming machinery and machine tools for metal work</t>
  </si>
  <si>
    <t>NACE_C2841</t>
  </si>
  <si>
    <t>C - 28.42 Manufacture of other machine tools</t>
  </si>
  <si>
    <t>NACE_C2842</t>
  </si>
  <si>
    <t>C - 28.9 Manufacture of other special-purpose machinery</t>
  </si>
  <si>
    <t>NACE_C289</t>
  </si>
  <si>
    <t>C - 28.91 Manufacture of machinery for metallurgy</t>
  </si>
  <si>
    <t>NACE_C2891</t>
  </si>
  <si>
    <t>C - 28.92 Manufacture of machinery for mining, quarrying and construction</t>
  </si>
  <si>
    <t>NACE_C2892</t>
  </si>
  <si>
    <t>C - 28.93 Manufacture of machinery for food, beverage and tobacco processing</t>
  </si>
  <si>
    <t>NACE_C2893</t>
  </si>
  <si>
    <t>C - 28.94 Manufacture of machinery for textile, apparel and leather production</t>
  </si>
  <si>
    <t>NACE_C2894</t>
  </si>
  <si>
    <t>C - 28.95 Manufacture of machinery for paper and paperboard production</t>
  </si>
  <si>
    <t>NACE_C2895</t>
  </si>
  <si>
    <t>C - 28.96 Manufacture of plastics and rubber machinery</t>
  </si>
  <si>
    <t>NACE_C2896</t>
  </si>
  <si>
    <t>C - 28.97 Manufacture of additive manufacturing machinery</t>
  </si>
  <si>
    <t>NACE_C2897</t>
  </si>
  <si>
    <t>C - 28.99 Manufacture of other special-purpose machinery n.e.c.</t>
  </si>
  <si>
    <t>NACE_C2899</t>
  </si>
  <si>
    <t>C - 29 Manufacture of motor vehicles, trailers and semi-trailers</t>
  </si>
  <si>
    <t>NACE_C29</t>
  </si>
  <si>
    <t>C - 29.1 Manufacture of motor vehicles</t>
  </si>
  <si>
    <t>NACE_C291</t>
  </si>
  <si>
    <t>C - 29.10 Manufacture of motor vehicles</t>
  </si>
  <si>
    <t>NACE_C2910</t>
  </si>
  <si>
    <t>C - 29.2 Manufacture of bodies and coachwork for motor vehicles; manufacture of trailers and semi-trailers</t>
  </si>
  <si>
    <t>NACE_C292</t>
  </si>
  <si>
    <t>C - 29.20 Manufacture of bodies and coachwork for motor vehicles; manufacture of trailers and semi-trailers</t>
  </si>
  <si>
    <t>NACE_C2920</t>
  </si>
  <si>
    <t>C - 29.3 Manufacture of motor vehicle parts and accessories</t>
  </si>
  <si>
    <t>NACE_C293</t>
  </si>
  <si>
    <t>C - 29.31 Manufacture of electrical and electronic equipment for motor vehicles</t>
  </si>
  <si>
    <t>NACE_C2931</t>
  </si>
  <si>
    <t>C - 29.32 Manufacture of other parts and accessories for motor vehicles</t>
  </si>
  <si>
    <t>NACE_C2932</t>
  </si>
  <si>
    <t>C - 30 Manufacture of other transport equipment</t>
  </si>
  <si>
    <t>NACE_C30</t>
  </si>
  <si>
    <t>C - 30.1 Building of ships and boats</t>
  </si>
  <si>
    <t>NACE_C301</t>
  </si>
  <si>
    <t>C - 30.11 Building of civilian ships and floating structures</t>
  </si>
  <si>
    <t>NACE_C3011</t>
  </si>
  <si>
    <t>C - 30.12 Building of pleasure and sporting boats</t>
  </si>
  <si>
    <t>NACE_C3012</t>
  </si>
  <si>
    <t>C - 30.13 Building of military ships and vessels</t>
  </si>
  <si>
    <t>NACE_C3013</t>
  </si>
  <si>
    <t>C - 30.2 Manufacture of railway locomotives and rolling stock</t>
  </si>
  <si>
    <t>NACE_C302</t>
  </si>
  <si>
    <t>C - 30.20 Manufacture of railway locomotives and rolling stock</t>
  </si>
  <si>
    <t>NACE_C3020</t>
  </si>
  <si>
    <t>C - 30.3 Manufacture of air and spacecraft and related machinery</t>
  </si>
  <si>
    <t>NACE_C303</t>
  </si>
  <si>
    <t>C - 30.31 Manufacture of civilian air and spacecraft and related machinery</t>
  </si>
  <si>
    <t>NACE_C3031</t>
  </si>
  <si>
    <t>C - 30.32 Manufacture of military air and spacecraft and related machinery</t>
  </si>
  <si>
    <t>NACE_C3032</t>
  </si>
  <si>
    <t>C - 30.4 Manufacture of military fighting vehicles</t>
  </si>
  <si>
    <t>NACE_C304</t>
  </si>
  <si>
    <t>C - 30.40 Manufacture of military fighting vehicles</t>
  </si>
  <si>
    <t>NACE_C3040</t>
  </si>
  <si>
    <t>C - 30.9 Manufacture of transport equipment n.e.c.</t>
  </si>
  <si>
    <t>NACE_C309</t>
  </si>
  <si>
    <t>C - 30.91 Manufacture of motorcycles</t>
  </si>
  <si>
    <t>NACE_C3091</t>
  </si>
  <si>
    <t>C - 30.92 Manufacture of bicycles and invalid carriages</t>
  </si>
  <si>
    <t>NACE_C3092</t>
  </si>
  <si>
    <t>C - 30.99 Manufacture of other transport equipment n.e.c.</t>
  </si>
  <si>
    <t>NACE_C3099</t>
  </si>
  <si>
    <t>C - 31 Manufacture of furniture</t>
  </si>
  <si>
    <t>NACE_C31</t>
  </si>
  <si>
    <t>C - 31.0 Manufacture of furniture</t>
  </si>
  <si>
    <t>NACE_C310</t>
  </si>
  <si>
    <t>C - 31.00 Manufacture of furniture</t>
  </si>
  <si>
    <t>NACE_C3100</t>
  </si>
  <si>
    <t>C - 32 Other manufacturing</t>
  </si>
  <si>
    <t>NACE_C32</t>
  </si>
  <si>
    <t>C - 32.1 Manufacture of jewellery, bijouterie and related articles</t>
  </si>
  <si>
    <t>NACE_C321</t>
  </si>
  <si>
    <t>C - 32.11 Striking of coins</t>
  </si>
  <si>
    <t>NACE_C3211</t>
  </si>
  <si>
    <t>C - 32.12 Manufacture of jewellery and related articles</t>
  </si>
  <si>
    <t>NACE_C3212</t>
  </si>
  <si>
    <t>C - 32.13 Manufacture of imitation jewellery and related articles</t>
  </si>
  <si>
    <t>NACE_C3213</t>
  </si>
  <si>
    <t>C - 32.2 Manufacture of musical instruments</t>
  </si>
  <si>
    <t>NACE_C322</t>
  </si>
  <si>
    <t>C - 32.20 Manufacture of musical instruments</t>
  </si>
  <si>
    <t>NACE_C3220</t>
  </si>
  <si>
    <t>C - 32.3 Manufacture of sports goods</t>
  </si>
  <si>
    <t>NACE_C323</t>
  </si>
  <si>
    <t>C - 32.30 Manufacture of sports goods</t>
  </si>
  <si>
    <t>NACE_C3230</t>
  </si>
  <si>
    <t>C - 32.4 Manufacture of games and toys</t>
  </si>
  <si>
    <t>NACE_C324</t>
  </si>
  <si>
    <t>C - 32.40 Manufacture of games and toys</t>
  </si>
  <si>
    <t>NACE_C3240</t>
  </si>
  <si>
    <t>C - 32.5 Manufacture of medical and dental instruments and supplies</t>
  </si>
  <si>
    <t>NACE_C325</t>
  </si>
  <si>
    <t>C - 32.50 Manufacture of medical and dental instruments and supplies</t>
  </si>
  <si>
    <t>NACE_C3250</t>
  </si>
  <si>
    <t>C - 32.9 Manufacturing n.e.c.</t>
  </si>
  <si>
    <t>NACE_C329</t>
  </si>
  <si>
    <t>C - 32.91 Manufacture of brooms and brushes</t>
  </si>
  <si>
    <t>NACE_C3291</t>
  </si>
  <si>
    <t>C - 32.99 Other manufacturing n.e.c.</t>
  </si>
  <si>
    <t>NACE_C3299</t>
  </si>
  <si>
    <t>C - 33 Repair, maintenance and installation of machinery and equipment</t>
  </si>
  <si>
    <t>NACE_C33</t>
  </si>
  <si>
    <t>C - 33.1 Repair and maintenance of fabricated metal products, machinery and equipment</t>
  </si>
  <si>
    <t>NACE_C331</t>
  </si>
  <si>
    <t>C - 33.11 Repair and maintenance of fabricated metal products</t>
  </si>
  <si>
    <t>NACE_C3311</t>
  </si>
  <si>
    <t>C - 33.12 Repair and maintenance of machinery</t>
  </si>
  <si>
    <t>NACE_C3312</t>
  </si>
  <si>
    <t>C - 33.13 Repair and maintenance of electronic and optical equipment</t>
  </si>
  <si>
    <t>NACE_C3313</t>
  </si>
  <si>
    <t>C - 33.14 Repair and maintenance of electrical equipment</t>
  </si>
  <si>
    <t>NACE_C3314</t>
  </si>
  <si>
    <t>C - 33.15 Repair and maintenance of civilian ships and boats</t>
  </si>
  <si>
    <t>NACE_C3315</t>
  </si>
  <si>
    <t>C - 33.16 Repair and maintenance of civilian air and spacecraft</t>
  </si>
  <si>
    <t>NACE_C3316</t>
  </si>
  <si>
    <t>C - 33.17 Repair and maintenance of other civilian transport equipment</t>
  </si>
  <si>
    <t>NACE_C3317</t>
  </si>
  <si>
    <t>C - 33.18 Repair and maintenance of military fighting vehicles, ships, boats, air and spacecraft</t>
  </si>
  <si>
    <t>NACE_C3318</t>
  </si>
  <si>
    <t>C - 33.19 Repair and maintenance of other equipment</t>
  </si>
  <si>
    <t>NACE_C3319</t>
  </si>
  <si>
    <t>C - 33.2 Installation of industrial machinery and equipment</t>
  </si>
  <si>
    <t>NACE_C332</t>
  </si>
  <si>
    <t>C - 33.20 Installation of industrial machinery and equipment</t>
  </si>
  <si>
    <t>NACE_C3320</t>
  </si>
  <si>
    <t>D - ELECTRICITY, GAS, STEAM AND AIR CONDITIONING SUPPLY</t>
  </si>
  <si>
    <t>NACE_D</t>
  </si>
  <si>
    <t>D - 35 Electricity, gas, steam and air conditioning supply</t>
  </si>
  <si>
    <t>NACE_D35</t>
  </si>
  <si>
    <t>D - 35.1 Electric power generation, transmission and distribution</t>
  </si>
  <si>
    <t>NACE_D351</t>
  </si>
  <si>
    <t>D - 35.11 Production of electricity from non-renewable sources</t>
  </si>
  <si>
    <t>NACE_D3511</t>
  </si>
  <si>
    <t>D - 35.12 Production of electricity from renewable sources</t>
  </si>
  <si>
    <t>NACE_D3512</t>
  </si>
  <si>
    <t>D - 35.13 Transmission of electricity</t>
  </si>
  <si>
    <t>NACE_D3513</t>
  </si>
  <si>
    <t>D - 35.14 Distribution of electricity</t>
  </si>
  <si>
    <t>NACE_D3514</t>
  </si>
  <si>
    <t>D - 35.15 Trade of electricity</t>
  </si>
  <si>
    <t>NACE_D3515</t>
  </si>
  <si>
    <t>D - 35.16 Storage of electricity</t>
  </si>
  <si>
    <t>NACE_D3516</t>
  </si>
  <si>
    <t>D - 35.2 Manufacture of gas, and distribution of gaseous fuels through mains</t>
  </si>
  <si>
    <t>NACE_D352</t>
  </si>
  <si>
    <t>D - 35.21 Manufacture of gas</t>
  </si>
  <si>
    <t>NACE_D3521</t>
  </si>
  <si>
    <t>D - 35.22 Distribution of gaseous fuels through mains</t>
  </si>
  <si>
    <t>NACE_D3522</t>
  </si>
  <si>
    <t>D - 35.23 Trade of gas through mains</t>
  </si>
  <si>
    <t>NACE_D3523</t>
  </si>
  <si>
    <t>D - 35.24 Storage of gas as part of network supply services</t>
  </si>
  <si>
    <t>NACE_D3524</t>
  </si>
  <si>
    <t>D - 35.3 Steam and air conditioning supply</t>
  </si>
  <si>
    <t>NACE_D353</t>
  </si>
  <si>
    <t>D - 35.30 Steam and air conditioning supply</t>
  </si>
  <si>
    <t>NACE_D3530</t>
  </si>
  <si>
    <t>D - 35.4 Activities of brokers and agents for electric power and natural gas</t>
  </si>
  <si>
    <t>NACE_D354</t>
  </si>
  <si>
    <t>D - 35.40 Activities of brokers and agents for electric power and natural gas</t>
  </si>
  <si>
    <t>NACE_D3540</t>
  </si>
  <si>
    <t>E - WATER SUPPLY; SEWERAGE, WASTE MANAGEMENT AND REMEDIATION ACTIVITIES</t>
  </si>
  <si>
    <t>NACE_E</t>
  </si>
  <si>
    <t>E - 36 Water collection, treatment and supply</t>
  </si>
  <si>
    <t>NACE_E36</t>
  </si>
  <si>
    <t>E - 36.0 Water collection, treatment and supply</t>
  </si>
  <si>
    <t>NACE_E360</t>
  </si>
  <si>
    <t>E - 36.00 Water collection, treatment and supply</t>
  </si>
  <si>
    <t>NACE_E3600</t>
  </si>
  <si>
    <t>E - 37 Sewerage</t>
  </si>
  <si>
    <t>NACE_E37</t>
  </si>
  <si>
    <t>E - 37.0 Sewerage</t>
  </si>
  <si>
    <t>NACE_E370</t>
  </si>
  <si>
    <t>E - 37.00 Sewerage</t>
  </si>
  <si>
    <t>NACE_E3700</t>
  </si>
  <si>
    <t>E - 38 Waste collection, recovery and disposal activities</t>
  </si>
  <si>
    <t>NACE_E38</t>
  </si>
  <si>
    <t>E - 38.1 Waste collection</t>
  </si>
  <si>
    <t>NACE_E381</t>
  </si>
  <si>
    <t>E - 38.11 Collection of non-hazardous waste</t>
  </si>
  <si>
    <t>NACE_E3811</t>
  </si>
  <si>
    <t>E - 38.12 Collection of hazardous waste</t>
  </si>
  <si>
    <t>NACE_E3812</t>
  </si>
  <si>
    <t>E - 38.2 Waste recovery</t>
  </si>
  <si>
    <t>NACE_E382</t>
  </si>
  <si>
    <t>E - 38.21 Materials recovery</t>
  </si>
  <si>
    <t>NACE_E3821</t>
  </si>
  <si>
    <t>E - 38.22 Energy recovery</t>
  </si>
  <si>
    <t>NACE_E3822</t>
  </si>
  <si>
    <t>E - 38.23 Other waste recovery</t>
  </si>
  <si>
    <t>NACE_E3823</t>
  </si>
  <si>
    <t>E - 38.3 Waste disposal without recovery</t>
  </si>
  <si>
    <t>NACE_E383</t>
  </si>
  <si>
    <t>E - 38.31 Incineration without energy recovery</t>
  </si>
  <si>
    <t>NACE_E3831</t>
  </si>
  <si>
    <t>E - 38.32 Landfilling or permanent storage</t>
  </si>
  <si>
    <t>NACE_E3832</t>
  </si>
  <si>
    <t>E - 38.33 Other waste disposal</t>
  </si>
  <si>
    <t>NACE_E3833</t>
  </si>
  <si>
    <t>E - 39 Remediation activities and other waste management service activities</t>
  </si>
  <si>
    <t>NACE_E39</t>
  </si>
  <si>
    <t>E - 39.0 Remediation activities and other waste management service activities</t>
  </si>
  <si>
    <t>NACE_E390</t>
  </si>
  <si>
    <t>E - 39.00 Remediation activities and other waste management service activities</t>
  </si>
  <si>
    <t>NACE_E3900</t>
  </si>
  <si>
    <t>F - CONSTRUCTION</t>
  </si>
  <si>
    <t>NACE_F</t>
  </si>
  <si>
    <t>F - 41 Construction of residential and non-residential buildings</t>
  </si>
  <si>
    <t>NACE_F41</t>
  </si>
  <si>
    <t>F - 41.0 Construction of residential and non-residential buildings</t>
  </si>
  <si>
    <t>NACE_F410</t>
  </si>
  <si>
    <t>F - 41.00 Construction of residential and non-residential buildings</t>
  </si>
  <si>
    <t>NACE_F4100</t>
  </si>
  <si>
    <t>F - 42 Civil engineering</t>
  </si>
  <si>
    <t>NACE_F42</t>
  </si>
  <si>
    <t>F - 42.1 Construction of roads and railways</t>
  </si>
  <si>
    <t>NACE_F421</t>
  </si>
  <si>
    <t>F - 42.11 Construction of roads and motorways</t>
  </si>
  <si>
    <t>NACE_F4211</t>
  </si>
  <si>
    <t>F - 42.12 Construction of railways and underground railways</t>
  </si>
  <si>
    <t>NACE_F4212</t>
  </si>
  <si>
    <t>F - 42.13 Construction of bridges and tunnels</t>
  </si>
  <si>
    <t>NACE_F4213</t>
  </si>
  <si>
    <t>F - 42.2 Construction of utility projects</t>
  </si>
  <si>
    <t>NACE_F422</t>
  </si>
  <si>
    <t>F - 42.21 Construction of utility projects for fluids</t>
  </si>
  <si>
    <t>NACE_F4221</t>
  </si>
  <si>
    <t>F - 42.22 Construction of utility projects for electricity and telecommunications</t>
  </si>
  <si>
    <t>NACE_F4222</t>
  </si>
  <si>
    <t>F - 42.9 Construction of other civil engineering projects</t>
  </si>
  <si>
    <t>NACE_F429</t>
  </si>
  <si>
    <t>F - 42.91 Construction of water projects</t>
  </si>
  <si>
    <t>NACE_F4291</t>
  </si>
  <si>
    <t>F - 42.99 Construction of other civil engineering projects n.e.c.</t>
  </si>
  <si>
    <t>NACE_F4299</t>
  </si>
  <si>
    <t>F - 43 Specialised construction activities</t>
  </si>
  <si>
    <t>NACE_F43</t>
  </si>
  <si>
    <t>F - 43.1 Demolition and site preparation</t>
  </si>
  <si>
    <t>NACE_F431</t>
  </si>
  <si>
    <t>F - 43.11 Demolition</t>
  </si>
  <si>
    <t>NACE_F4311</t>
  </si>
  <si>
    <t>F - 43.12 Site preparation</t>
  </si>
  <si>
    <t>NACE_F4312</t>
  </si>
  <si>
    <t>F - 43.13 Test drilling and boring</t>
  </si>
  <si>
    <t>NACE_F4313</t>
  </si>
  <si>
    <t>F - 43.2 Electrical, plumbing and other construction installation activities</t>
  </si>
  <si>
    <t>NACE_F432</t>
  </si>
  <si>
    <t>F - 43.21 Electrical installation</t>
  </si>
  <si>
    <t>NACE_F4321</t>
  </si>
  <si>
    <t>F - 43.22 Plumbing, heat and air-conditioning installation</t>
  </si>
  <si>
    <t>NACE_F4322</t>
  </si>
  <si>
    <t>F - 43.23 Installation of insulation</t>
  </si>
  <si>
    <t>NACE_F4323</t>
  </si>
  <si>
    <t>F - 43.24 Other construction installation</t>
  </si>
  <si>
    <t>NACE_F4324</t>
  </si>
  <si>
    <t>F - 43.3 Building completion and finishing</t>
  </si>
  <si>
    <t>NACE_F433</t>
  </si>
  <si>
    <t>F - 43.31 Plastering</t>
  </si>
  <si>
    <t>NACE_F4331</t>
  </si>
  <si>
    <t>F - 43.32 Joinery installation</t>
  </si>
  <si>
    <t>NACE_F4332</t>
  </si>
  <si>
    <t>F - 43.33 Floor and wall covering</t>
  </si>
  <si>
    <t>NACE_F4333</t>
  </si>
  <si>
    <t>F - 43.34 Painting and glazing</t>
  </si>
  <si>
    <t>NACE_F4334</t>
  </si>
  <si>
    <t>F - 43.35 Other building completion and finishing</t>
  </si>
  <si>
    <t>NACE_F4335</t>
  </si>
  <si>
    <t>F - 43.4 Specialised construction activities in construction of buildings</t>
  </si>
  <si>
    <t>NACE_F434</t>
  </si>
  <si>
    <t>F - 43.41 Roofing activities</t>
  </si>
  <si>
    <t>NACE_F4341</t>
  </si>
  <si>
    <t>F - 43.42 Other specialised construction activities in construction of buildings</t>
  </si>
  <si>
    <t>NACE_F4342</t>
  </si>
  <si>
    <t>F - 43.5 Specialised construction activities in civil engineering</t>
  </si>
  <si>
    <t>NACE_F435</t>
  </si>
  <si>
    <t>F - 43.50 Specialised construction activities in civil engineering</t>
  </si>
  <si>
    <t>NACE_F4350</t>
  </si>
  <si>
    <t>F - 43.6 Intermediation service activities for specialised construction services</t>
  </si>
  <si>
    <t>NACE_F436</t>
  </si>
  <si>
    <t>F - 43.60 Intermediation service activities for specialised construction services</t>
  </si>
  <si>
    <t>NACE_F4360</t>
  </si>
  <si>
    <t>F - 43.9 Other specialised construction activities</t>
  </si>
  <si>
    <t>NACE_F439</t>
  </si>
  <si>
    <t>F - 43.91 Masonry and bricklaying activities</t>
  </si>
  <si>
    <t>NACE_F4391</t>
  </si>
  <si>
    <t>F - 43.99 Other specialised construction activities n.e.c.</t>
  </si>
  <si>
    <t>NACE_F4399</t>
  </si>
  <si>
    <t>G - WHOLESALE AND RETAIL TRADE</t>
  </si>
  <si>
    <t>NACE_G</t>
  </si>
  <si>
    <t>G - 46 Wholesale trade</t>
  </si>
  <si>
    <t>NACE_G46</t>
  </si>
  <si>
    <t>G - 46.1 Wholesale on a fee or contract basis</t>
  </si>
  <si>
    <t>NACE_G461</t>
  </si>
  <si>
    <t>G - 46.11 Activities of agents involved in the wholesale of agricultural raw materials, live animals, textile raw materials and semi-finished goods</t>
  </si>
  <si>
    <t>NACE_G4611</t>
  </si>
  <si>
    <t>G - 46.12 Activities of agents involved in the wholesale of fuels, ores, metals and industrial chemicals</t>
  </si>
  <si>
    <t>NACE_G4612</t>
  </si>
  <si>
    <t>G - 46.13 Activities of agents involved in the wholesale of timber and building materials</t>
  </si>
  <si>
    <t>NACE_G4613</t>
  </si>
  <si>
    <t>G - 46.14 Activities of agents involved in the wholesale of machinery, industrial equipment, ships and aircraft</t>
  </si>
  <si>
    <t>NACE_G4614</t>
  </si>
  <si>
    <t>G - 46.15 Activities of agents involved in the wholesale of furniture, household goods, hardware and ironmongery</t>
  </si>
  <si>
    <t>NACE_G4615</t>
  </si>
  <si>
    <t>G - 46.16 Activities of agents involved in the wholesale of textiles, clothing, fur, footwear and leather goods</t>
  </si>
  <si>
    <t>NACE_G4616</t>
  </si>
  <si>
    <t>G - 46.17 Activities of agents involved in the wholesale of food, beverages and tobacco</t>
  </si>
  <si>
    <t>NACE_G4617</t>
  </si>
  <si>
    <t>G - 46.18 Activities of agents involved in the wholesale of other particular products</t>
  </si>
  <si>
    <t>NACE_G4618</t>
  </si>
  <si>
    <t>G - 46.19 Activities of agents involved in non-specialised wholesale</t>
  </si>
  <si>
    <t>NACE_G4619</t>
  </si>
  <si>
    <t>G - 46.2 Wholesale of agricultural raw materials and live animals</t>
  </si>
  <si>
    <t>NACE_G462</t>
  </si>
  <si>
    <t>G - 46.21 Wholesale of grain, unmanufactured tobacco, seeds and animal feeds</t>
  </si>
  <si>
    <t>NACE_G4621</t>
  </si>
  <si>
    <t>G - 46.22 Wholesale of flowers and plants</t>
  </si>
  <si>
    <t>NACE_G4622</t>
  </si>
  <si>
    <t>G - 46.23 Wholesale of live animals</t>
  </si>
  <si>
    <t>NACE_G4623</t>
  </si>
  <si>
    <t>G - 46.24 Wholesale of hides, skins and leather</t>
  </si>
  <si>
    <t>NACE_G4624</t>
  </si>
  <si>
    <t>G - 46.3 Wholesale of food, beverages and tobacco</t>
  </si>
  <si>
    <t>NACE_G463</t>
  </si>
  <si>
    <t>G - 46.31 Wholesale of fruit and vegetables</t>
  </si>
  <si>
    <t>NACE_G4631</t>
  </si>
  <si>
    <t>G - 46.32 Wholesale of meat, meat products, fish and fish products</t>
  </si>
  <si>
    <t>NACE_G4632</t>
  </si>
  <si>
    <t>G - 46.33 Wholesale of dairy products, eggs and edible oils and fats</t>
  </si>
  <si>
    <t>NACE_G4633</t>
  </si>
  <si>
    <t>G - 46.34 Wholesale of beverages</t>
  </si>
  <si>
    <t>NACE_G4634</t>
  </si>
  <si>
    <t>G - 46.35 Wholesale of tobacco products</t>
  </si>
  <si>
    <t>NACE_G4635</t>
  </si>
  <si>
    <t>G - 46.36 Wholesale of sugar, chocolate and sugar confectionery</t>
  </si>
  <si>
    <t>NACE_G4636</t>
  </si>
  <si>
    <t>G - 46.37 Wholesale of coffee, tea, cocoa and spices</t>
  </si>
  <si>
    <t>NACE_G4637</t>
  </si>
  <si>
    <t>G - 46.38 Wholesale of other food</t>
  </si>
  <si>
    <t>NACE_G4638</t>
  </si>
  <si>
    <t>G - 46.39 Non-specialised wholesale of food, beverages and tobacco</t>
  </si>
  <si>
    <t>NACE_G4639</t>
  </si>
  <si>
    <t>G - 46.4 Wholesale of household goods</t>
  </si>
  <si>
    <t>NACE_G464</t>
  </si>
  <si>
    <t>G - 46.41 Wholesale of textiles</t>
  </si>
  <si>
    <t>NACE_G4641</t>
  </si>
  <si>
    <t>G - 46.42 Wholesale of clothing and footwear</t>
  </si>
  <si>
    <t>NACE_G4642</t>
  </si>
  <si>
    <t>G - 46.43 Wholesale of electrical household appliances</t>
  </si>
  <si>
    <t>NACE_G4643</t>
  </si>
  <si>
    <t>G - 46.44 Wholesale of china and glassware and cleaning materials</t>
  </si>
  <si>
    <t>NACE_G4644</t>
  </si>
  <si>
    <t>G - 46.45 Wholesale of perfume and cosmetics</t>
  </si>
  <si>
    <t>NACE_G4645</t>
  </si>
  <si>
    <t>G - 46.46 Wholesale of pharmaceutical and medical goods</t>
  </si>
  <si>
    <t>NACE_G4646</t>
  </si>
  <si>
    <t>G - 46.47 Wholesale of household, office and shop furniture, carpets and lighting equipment</t>
  </si>
  <si>
    <t>NACE_G4647</t>
  </si>
  <si>
    <t>G - 46.48 Wholesale of watches and jewellery</t>
  </si>
  <si>
    <t>NACE_G4648</t>
  </si>
  <si>
    <t>G - 46.49 Wholesale of other household goods</t>
  </si>
  <si>
    <t>NACE_G4649</t>
  </si>
  <si>
    <t>G - 46.5 Wholesale of information and communication equipment</t>
  </si>
  <si>
    <t>NACE_G465</t>
  </si>
  <si>
    <t>G - 46.50 Wholesale of information and communication equipment</t>
  </si>
  <si>
    <t>NACE_G4650</t>
  </si>
  <si>
    <t>G - 46.6 Wholesale of other machinery, equipment and supplies</t>
  </si>
  <si>
    <t>NACE_G466</t>
  </si>
  <si>
    <t>G - 46.61 Wholesale of agricultural machinery, equipment and supplies</t>
  </si>
  <si>
    <t>NACE_G4661</t>
  </si>
  <si>
    <t>G - 46.62 Wholesale of machine tools</t>
  </si>
  <si>
    <t>NACE_G4662</t>
  </si>
  <si>
    <t>G - 46.63 Wholesale of mining, construction and civil engineering machinery</t>
  </si>
  <si>
    <t>NACE_G4663</t>
  </si>
  <si>
    <t>G - 46.64 Wholesale of other machinery and equipment</t>
  </si>
  <si>
    <t>NACE_G4664</t>
  </si>
  <si>
    <t>G - 46.7 Wholesale of motor vehicles, motorcycles and related parts and accessories</t>
  </si>
  <si>
    <t>NACE_G467</t>
  </si>
  <si>
    <t>G - 46.71 Wholesale of motor vehicles</t>
  </si>
  <si>
    <t>NACE_G4671</t>
  </si>
  <si>
    <t>G - 46.72 Wholesale of motor vehicle parts and accessories</t>
  </si>
  <si>
    <t>NACE_G4672</t>
  </si>
  <si>
    <t>G - 46.73 Wholesale of motorcycles, motorcycle parts and accessories</t>
  </si>
  <si>
    <t>NACE_G4673</t>
  </si>
  <si>
    <t>G - 46.8 Other specialised wholesale</t>
  </si>
  <si>
    <t>NACE_G468</t>
  </si>
  <si>
    <t>G - 46.81 Wholesale of solid, liquid and gaseous fuels and related products</t>
  </si>
  <si>
    <t>NACE_G4681</t>
  </si>
  <si>
    <t>G - 46.82 Wholesale of metals and metal ores</t>
  </si>
  <si>
    <t>NACE_G4682</t>
  </si>
  <si>
    <t>G - 46.83 Wholesale of wood, construction materials and sanitary equipment</t>
  </si>
  <si>
    <t>NACE_G4683</t>
  </si>
  <si>
    <t>G - 46.84 Wholesale of hardware, plumbing and heating equipment and supplies</t>
  </si>
  <si>
    <t>NACE_G4684</t>
  </si>
  <si>
    <t>G - 46.85 Wholesale of chemical products</t>
  </si>
  <si>
    <t>NACE_G4685</t>
  </si>
  <si>
    <t>G - 46.86 Wholesale of other intermediate products</t>
  </si>
  <si>
    <t>NACE_G4686</t>
  </si>
  <si>
    <t>G - 46.87 Wholesale of waste and scrap</t>
  </si>
  <si>
    <t>NACE_G4687</t>
  </si>
  <si>
    <t>G - 46.89 Other specialised wholesale n.e.c.</t>
  </si>
  <si>
    <t>NACE_G4689</t>
  </si>
  <si>
    <t>G - 46.9 Non-specialised wholesale trade</t>
  </si>
  <si>
    <t>NACE_G469</t>
  </si>
  <si>
    <t>G - 46.90 Non-specialised wholesale trade</t>
  </si>
  <si>
    <t>NACE_G4690</t>
  </si>
  <si>
    <t>G - 47 Retail trade</t>
  </si>
  <si>
    <t>NACE_G47</t>
  </si>
  <si>
    <t>G - 47.1 Non-specialised retail sale</t>
  </si>
  <si>
    <t>NACE_G471</t>
  </si>
  <si>
    <t>G - 47.11 Non-specialised retail sale of predominately food, beverages or tobacco</t>
  </si>
  <si>
    <t>NACE_G4711</t>
  </si>
  <si>
    <t>G - 47.12 Other non-specialised retail sale</t>
  </si>
  <si>
    <t>NACE_G4712</t>
  </si>
  <si>
    <t>G - 47.2 Retail sale of food, beverages and tobacco</t>
  </si>
  <si>
    <t>NACE_G472</t>
  </si>
  <si>
    <t>G - 47.21 Retail sale of fruit and vegetables</t>
  </si>
  <si>
    <t>NACE_G4721</t>
  </si>
  <si>
    <t>G - 47.22 Retail sale of meat and meat products</t>
  </si>
  <si>
    <t>NACE_G4722</t>
  </si>
  <si>
    <t>G - 47.23 Retail sale of fish, crustaceans and molluscs</t>
  </si>
  <si>
    <t>NACE_G4723</t>
  </si>
  <si>
    <t>G - 47.24 Retail sale of bread, cake and confectionery</t>
  </si>
  <si>
    <t>NACE_G4724</t>
  </si>
  <si>
    <t>G - 47.25 Retail sale of beverages</t>
  </si>
  <si>
    <t>NACE_G4725</t>
  </si>
  <si>
    <t>G - 47.26 Retail sale of tobacco products</t>
  </si>
  <si>
    <t>NACE_G4726</t>
  </si>
  <si>
    <t>G - 47.27 Retail sale of other food</t>
  </si>
  <si>
    <t>NACE_G4727</t>
  </si>
  <si>
    <t>G - 47.3 Retail sale of automotive fuel</t>
  </si>
  <si>
    <t>NACE_G473</t>
  </si>
  <si>
    <t>G - 47.30 Retail sale of automotive fuel</t>
  </si>
  <si>
    <t>NACE_G4730</t>
  </si>
  <si>
    <t>G - 47.4 Retail sale of information and communication equipment</t>
  </si>
  <si>
    <t>NACE_G474</t>
  </si>
  <si>
    <t>G - 47.40 Retail sale of information and communication equipment</t>
  </si>
  <si>
    <t>NACE_G4740</t>
  </si>
  <si>
    <t>G - 47.5 Retail sale of other household equipment</t>
  </si>
  <si>
    <t>NACE_G475</t>
  </si>
  <si>
    <t>G - 47.51 Retail sale of textiles</t>
  </si>
  <si>
    <t>NACE_G4751</t>
  </si>
  <si>
    <t>G - 47.52 Retail sale of hardware, building materials, paints and glass</t>
  </si>
  <si>
    <t>NACE_G4752</t>
  </si>
  <si>
    <t>G - 47.53 Retail sale of carpets, rugs, wall and floor coverings</t>
  </si>
  <si>
    <t>NACE_G4753</t>
  </si>
  <si>
    <t>G - 47.54 Retail sale of electrical household appliances</t>
  </si>
  <si>
    <t>NACE_G4754</t>
  </si>
  <si>
    <t>G - 47.55 Retail sale of furniture, lighting equipment, tableware and other household goods</t>
  </si>
  <si>
    <t>NACE_G4755</t>
  </si>
  <si>
    <t>G - 47.6 Retail sale of cultural and recreation goods</t>
  </si>
  <si>
    <t>NACE_G476</t>
  </si>
  <si>
    <t>G - 47.61 Retail sale of books</t>
  </si>
  <si>
    <t>NACE_G4761</t>
  </si>
  <si>
    <t>G - 47.62 Retail sale of newspapers, and other periodical publications and stationery</t>
  </si>
  <si>
    <t>NACE_G4762</t>
  </si>
  <si>
    <t>G - 47.63 Retail sale of sporting equipment</t>
  </si>
  <si>
    <t>NACE_G4763</t>
  </si>
  <si>
    <t>G - 47.64 Retail sale of games and toys</t>
  </si>
  <si>
    <t>NACE_G4764</t>
  </si>
  <si>
    <t>G - 47.69 Retail sale of cultural and recreational goods n.e.c.</t>
  </si>
  <si>
    <t>NACE_G4769</t>
  </si>
  <si>
    <t>G - 47.7 Retail sale of other goods, except motor vehicles and motorcycles</t>
  </si>
  <si>
    <t>NACE_G477</t>
  </si>
  <si>
    <t>G - 47.71 Retail sale of clothing</t>
  </si>
  <si>
    <t>NACE_G4771</t>
  </si>
  <si>
    <t>G - 47.72 Retail sale of footwear and leather goods</t>
  </si>
  <si>
    <t>NACE_G4772</t>
  </si>
  <si>
    <t>G - 47.73 Retail sale of pharmaceutical products</t>
  </si>
  <si>
    <t>NACE_G4773</t>
  </si>
  <si>
    <t>G - 47.74 Retail sale of medical and orthopaedic goods</t>
  </si>
  <si>
    <t>NACE_G4774</t>
  </si>
  <si>
    <t>G - 47.75 Retail sale of cosmetic and toilet articles</t>
  </si>
  <si>
    <t>NACE_G4775</t>
  </si>
  <si>
    <t>G - 47.76 Retail sale of flowers, plants, fertilisers, pets and pet food</t>
  </si>
  <si>
    <t>NACE_G4776</t>
  </si>
  <si>
    <t>G - 47.77 Retail sale of watches and jewellery</t>
  </si>
  <si>
    <t>NACE_G4777</t>
  </si>
  <si>
    <t>G - 47.78 Retail sale of other new goods</t>
  </si>
  <si>
    <t>NACE_G4778</t>
  </si>
  <si>
    <t>G - 47.79 Retail sale of second-hand goods</t>
  </si>
  <si>
    <t>NACE_G4779</t>
  </si>
  <si>
    <t>G - 47.8 Retail sale of motor vehicles, motorcycles and related parts and accessories</t>
  </si>
  <si>
    <t>NACE_G478</t>
  </si>
  <si>
    <t>G - 47.81 Retail sale of motor vehicles</t>
  </si>
  <si>
    <t>NACE_G4781</t>
  </si>
  <si>
    <t>G - 47.82 Retail sale of motor vehicle parts and accessories</t>
  </si>
  <si>
    <t>NACE_G4782</t>
  </si>
  <si>
    <t>G - 47.83 Retail sale of motorcycles, motorcycle parts and accessories</t>
  </si>
  <si>
    <t>NACE_G4783</t>
  </si>
  <si>
    <t>G - 47.9 Intermediation service activities for retail sale</t>
  </si>
  <si>
    <t>NACE_G479</t>
  </si>
  <si>
    <t>G - 47.91 Intermediation service activities for non-specialised retail sale</t>
  </si>
  <si>
    <t>NACE_G4791</t>
  </si>
  <si>
    <t>G - 47.92 Intermediation service activities for specialised retail sale</t>
  </si>
  <si>
    <t>NACE_G4792</t>
  </si>
  <si>
    <t>H - TRANSPORTATION AND STORAGE</t>
  </si>
  <si>
    <t>NACE_H</t>
  </si>
  <si>
    <t>H - 49 Land transport and transport via pipelines</t>
  </si>
  <si>
    <t>NACE_H49</t>
  </si>
  <si>
    <t>H - 49.1 Passenger rail transport</t>
  </si>
  <si>
    <t>NACE_H491</t>
  </si>
  <si>
    <t>H - 49.11 Passenger heavy rail transport</t>
  </si>
  <si>
    <t>NACE_H4911</t>
  </si>
  <si>
    <t>H - 49.12 Other passenger rail transport</t>
  </si>
  <si>
    <t>NACE_H4912</t>
  </si>
  <si>
    <t>H - 49.2 Freight rail transport</t>
  </si>
  <si>
    <t>NACE_H492</t>
  </si>
  <si>
    <t>H - 49.20 Freight rail transport</t>
  </si>
  <si>
    <t>NACE_H4920</t>
  </si>
  <si>
    <t>H - 49.3 Other passenger land transport</t>
  </si>
  <si>
    <t>NACE_H493</t>
  </si>
  <si>
    <t>H - 49.31 Scheduled passenger transport by road</t>
  </si>
  <si>
    <t>NACE_H4931</t>
  </si>
  <si>
    <t>H - 49.32 Non-scheduled passenger transport by road</t>
  </si>
  <si>
    <t>NACE_H4932</t>
  </si>
  <si>
    <t>H - 49.33 On-demand passenger transport service activities by vehicle with driver</t>
  </si>
  <si>
    <t>NACE_H4933</t>
  </si>
  <si>
    <t>H - 49.34 Passenger transport by cableways and ski lifts</t>
  </si>
  <si>
    <t>NACE_H4934</t>
  </si>
  <si>
    <t>H - 49.39 Other passenger land transport n.e.c.</t>
  </si>
  <si>
    <t>NACE_H4939</t>
  </si>
  <si>
    <t>H - 49.4 Freight transport by road and removal services</t>
  </si>
  <si>
    <t>NACE_H494</t>
  </si>
  <si>
    <t>H - 49.41 Freight transport by road</t>
  </si>
  <si>
    <t>NACE_H4941</t>
  </si>
  <si>
    <t>H - 49.42 Removal services</t>
  </si>
  <si>
    <t>NACE_H4942</t>
  </si>
  <si>
    <t>H - 49.5 Transport via pipeline</t>
  </si>
  <si>
    <t>NACE_H495</t>
  </si>
  <si>
    <t>H - 49.50 Transport via pipeline</t>
  </si>
  <si>
    <t>NACE_H4950</t>
  </si>
  <si>
    <t>H - 50 Water transport</t>
  </si>
  <si>
    <t>NACE_H50</t>
  </si>
  <si>
    <t>H - 50.1 Sea and coastal passenger water transport</t>
  </si>
  <si>
    <t>NACE_H501</t>
  </si>
  <si>
    <t>H - 50.10 Sea and coastal passenger water transport</t>
  </si>
  <si>
    <t>NACE_H5010</t>
  </si>
  <si>
    <t>H - 50.2 Sea and coastal freight water transport</t>
  </si>
  <si>
    <t>NACE_H502</t>
  </si>
  <si>
    <t>H - 50.20 Sea and coastal freight water transport</t>
  </si>
  <si>
    <t>NACE_H5020</t>
  </si>
  <si>
    <t>H - 50.3 Inland passenger water transport</t>
  </si>
  <si>
    <t>NACE_H503</t>
  </si>
  <si>
    <t>H - 50.30 Inland passenger water transport</t>
  </si>
  <si>
    <t>NACE_H5030</t>
  </si>
  <si>
    <t>H - 50.4 Inland freight water transport</t>
  </si>
  <si>
    <t>NACE_H504</t>
  </si>
  <si>
    <t>H - 50.40 Inland freight water transport</t>
  </si>
  <si>
    <t>NACE_H5040</t>
  </si>
  <si>
    <t>H - 51 Air transport</t>
  </si>
  <si>
    <t>NACE_H51</t>
  </si>
  <si>
    <t>H - 51.1 Passenger air transport</t>
  </si>
  <si>
    <t>NACE_H511</t>
  </si>
  <si>
    <t>H - 51.10 Passenger air transport</t>
  </si>
  <si>
    <t>NACE_H5110</t>
  </si>
  <si>
    <t>H - 51.2 Freight air transport and space transport</t>
  </si>
  <si>
    <t>NACE_H512</t>
  </si>
  <si>
    <t>H - 51.21 Freight air transport</t>
  </si>
  <si>
    <t>NACE_H5121</t>
  </si>
  <si>
    <t>H - 51.22 Space transport</t>
  </si>
  <si>
    <t>NACE_H5122</t>
  </si>
  <si>
    <t>H - 52 Warehousing, storage and support activities for transportation</t>
  </si>
  <si>
    <t>NACE_H52</t>
  </si>
  <si>
    <t>H - 52.1 Warehousing and storage</t>
  </si>
  <si>
    <t>NACE_H521</t>
  </si>
  <si>
    <t>H - 52.10 Warehousing and storage</t>
  </si>
  <si>
    <t>NACE_H5210</t>
  </si>
  <si>
    <t>H - 52.2 Support activities for transportation</t>
  </si>
  <si>
    <t>NACE_H522</t>
  </si>
  <si>
    <t>H - 52.21 Service activities incidental to land transportation</t>
  </si>
  <si>
    <t>NACE_H5221</t>
  </si>
  <si>
    <t>H - 52.22 Service activities incidental to water transportation</t>
  </si>
  <si>
    <t>NACE_H5222</t>
  </si>
  <si>
    <t>H - 52.23 Service activities incidental to air transportation</t>
  </si>
  <si>
    <t>NACE_H5223</t>
  </si>
  <si>
    <t>H - 52.24 Cargo handling</t>
  </si>
  <si>
    <t>NACE_H5224</t>
  </si>
  <si>
    <t>H - 52.25 Logistics service activities</t>
  </si>
  <si>
    <t>NACE_H5225</t>
  </si>
  <si>
    <t>H - 52.26 Other support activities for transportation</t>
  </si>
  <si>
    <t>NACE_H5226</t>
  </si>
  <si>
    <t>H - 52.3 Intermediation service activities for transportation</t>
  </si>
  <si>
    <t>NACE_H523</t>
  </si>
  <si>
    <t>H - 52.31 Intermediation service activities for freight transportation</t>
  </si>
  <si>
    <t>NACE_H5231</t>
  </si>
  <si>
    <t>H - 52.32 Intermediation service activities for passenger transportation</t>
  </si>
  <si>
    <t>NACE_H5232</t>
  </si>
  <si>
    <t>H - 53 Postal and courier activities</t>
  </si>
  <si>
    <t>NACE_H53</t>
  </si>
  <si>
    <t>H - 53.1 Postal activities under universal service obligation</t>
  </si>
  <si>
    <t>NACE_H531</t>
  </si>
  <si>
    <t>H - 53.10 Postal activities under universal service obligation</t>
  </si>
  <si>
    <t>NACE_H5310</t>
  </si>
  <si>
    <t>H - 53.2 Other postal and courier activities</t>
  </si>
  <si>
    <t>NACE_H532</t>
  </si>
  <si>
    <t>H - 53.20 Other postal and courier activities</t>
  </si>
  <si>
    <t>NACE_H5320</t>
  </si>
  <si>
    <t>H - 53.3 Intermediation service activities for postal and courier activities</t>
  </si>
  <si>
    <t>NACE_H533</t>
  </si>
  <si>
    <t>H - 53.30 Intermediation service activities for postal and courier activities</t>
  </si>
  <si>
    <t>NACE_H5330</t>
  </si>
  <si>
    <t>I - ACCOMMODATION AND FOOD SERVICE ACTIVITIES</t>
  </si>
  <si>
    <t>NACE_I</t>
  </si>
  <si>
    <t>I - 55 Accommodation</t>
  </si>
  <si>
    <t>NACE_I55</t>
  </si>
  <si>
    <t>I - 55.1 Hotels and similar accommodation</t>
  </si>
  <si>
    <t>NACE_I551</t>
  </si>
  <si>
    <t>I - 55.10 Hotels and similar accommodation</t>
  </si>
  <si>
    <t>NACE_I5510</t>
  </si>
  <si>
    <t>I - 55.2 Holiday and other short-stay accommodation</t>
  </si>
  <si>
    <t>NACE_I552</t>
  </si>
  <si>
    <t>I - 55.20 Holiday and other short-stay accommodation</t>
  </si>
  <si>
    <t>NACE_I5520</t>
  </si>
  <si>
    <t>I - 55.3 Camping grounds and recreational vehicle parks</t>
  </si>
  <si>
    <t>NACE_I553</t>
  </si>
  <si>
    <t>I - 55.30 Camping grounds and recreational vehicle parks</t>
  </si>
  <si>
    <t>NACE_I5530</t>
  </si>
  <si>
    <t>I - 55.4 Intermediation service activities for accommodation</t>
  </si>
  <si>
    <t>NACE_I554</t>
  </si>
  <si>
    <t>I - 55.40 Intermediation service activities for accommodation</t>
  </si>
  <si>
    <t>NACE_I5540</t>
  </si>
  <si>
    <t>I - 55.9 Other accommodation</t>
  </si>
  <si>
    <t>NACE_I559</t>
  </si>
  <si>
    <t>I - 55.90 Other accommodation</t>
  </si>
  <si>
    <t>NACE_I5590</t>
  </si>
  <si>
    <t>I - 56 Food and beverage service activities</t>
  </si>
  <si>
    <t>NACE_I56</t>
  </si>
  <si>
    <t>I - 56.1 Restaurants and mobile food service activities</t>
  </si>
  <si>
    <t>NACE_I561</t>
  </si>
  <si>
    <t>I - 56.11 Restaurant activities</t>
  </si>
  <si>
    <t>NACE_I5611</t>
  </si>
  <si>
    <t>I - 56.12 Mobile food service activities</t>
  </si>
  <si>
    <t>NACE_I5612</t>
  </si>
  <si>
    <t>I - 56.2 Event catering, contract catering service activities and other food service activities</t>
  </si>
  <si>
    <t>NACE_I562</t>
  </si>
  <si>
    <t>I - 56.21 Event catering activities</t>
  </si>
  <si>
    <t>NACE_I5621</t>
  </si>
  <si>
    <t>I - 56.22 Contract catering service activities and other food service activities</t>
  </si>
  <si>
    <t>NACE_I5622</t>
  </si>
  <si>
    <t>I - 56.3 Beverage serving activities</t>
  </si>
  <si>
    <t>NACE_I563</t>
  </si>
  <si>
    <t>I - 56.30 Beverage serving activities</t>
  </si>
  <si>
    <t>NACE_I5630</t>
  </si>
  <si>
    <t>I - 56.4 Intermediation service activities for food and beverage services activities</t>
  </si>
  <si>
    <t>NACE_I564</t>
  </si>
  <si>
    <t>I - 56.40 Intermediation service activities for food and beverage services activities</t>
  </si>
  <si>
    <t>NACE_I5640</t>
  </si>
  <si>
    <t>J - PUBLISHING, BROADCASTING, AND CONTENT PRODUCTION AND DISTRIBUTION ACTIVITIES</t>
  </si>
  <si>
    <t>NACE_J</t>
  </si>
  <si>
    <t>J - 58 Publishing activities</t>
  </si>
  <si>
    <t>NACE_J58</t>
  </si>
  <si>
    <t>J - 58.1 Publishing of books, newspapers and other publishing activities, except software publishing</t>
  </si>
  <si>
    <t>NACE_J581</t>
  </si>
  <si>
    <t>J - 58.11 Publishing of books</t>
  </si>
  <si>
    <t>NACE_J5811</t>
  </si>
  <si>
    <t>J - 58.12 Publishing of newspapers</t>
  </si>
  <si>
    <t>NACE_J5812</t>
  </si>
  <si>
    <t>J - 58.13 Publishing of journals and periodicals</t>
  </si>
  <si>
    <t>NACE_J5813</t>
  </si>
  <si>
    <t>J - 58.19 Other publishing activities, except software publishing</t>
  </si>
  <si>
    <t>NACE_J5819</t>
  </si>
  <si>
    <t>J - 58.2 Software publishing</t>
  </si>
  <si>
    <t>NACE_J582</t>
  </si>
  <si>
    <t>J - 58.21 Publishing of video games</t>
  </si>
  <si>
    <t>NACE_J5821</t>
  </si>
  <si>
    <t>J - 58.29 Other software publishing</t>
  </si>
  <si>
    <t>NACE_J5829</t>
  </si>
  <si>
    <t>J - 59 Motion picture, video and television programme production, sound recording and music publishing activities</t>
  </si>
  <si>
    <t>NACE_J59</t>
  </si>
  <si>
    <t>J - 59.1 Motion picture, video and television programme activities</t>
  </si>
  <si>
    <t>NACE_J591</t>
  </si>
  <si>
    <t>J - 59.11 Motion picture, video and television programme production activities</t>
  </si>
  <si>
    <t>NACE_J5911</t>
  </si>
  <si>
    <t>J - 59.12 Motion picture, video and television programme post-production activities</t>
  </si>
  <si>
    <t>NACE_J5912</t>
  </si>
  <si>
    <t>J - 59.13 Motion picture and video distribution activities</t>
  </si>
  <si>
    <t>NACE_J5913</t>
  </si>
  <si>
    <t>J - 59.14 Motion picture projection activities</t>
  </si>
  <si>
    <t>NACE_J5914</t>
  </si>
  <si>
    <t>J - 59.2 Sound recording and music publishing activities</t>
  </si>
  <si>
    <t>NACE_J592</t>
  </si>
  <si>
    <t>J - 59.20 Sound recording and music publishing activities</t>
  </si>
  <si>
    <t>NACE_J5920</t>
  </si>
  <si>
    <t>J - 60 Programming, broadcasting, news agency and other content distribution activities</t>
  </si>
  <si>
    <t>NACE_J60</t>
  </si>
  <si>
    <t>J - 60.1 Radio broadcasting and audio distribution activities</t>
  </si>
  <si>
    <t>NACE_J601</t>
  </si>
  <si>
    <t>J - 60.10 Radio broadcasting and audio distribution activities</t>
  </si>
  <si>
    <t>NACE_J6010</t>
  </si>
  <si>
    <t>J - 60.2 Television programming, broadcasting and video distribution activities</t>
  </si>
  <si>
    <t>NACE_J602</t>
  </si>
  <si>
    <t>J - 60.20 Television programming, broadcasting and video distribution activities</t>
  </si>
  <si>
    <t>NACE_J6020</t>
  </si>
  <si>
    <t>J - 60.3 News agency and other content distribution activities</t>
  </si>
  <si>
    <t>NACE_J603</t>
  </si>
  <si>
    <t>J - 60.31 News agency activities</t>
  </si>
  <si>
    <t>NACE_J6031</t>
  </si>
  <si>
    <t>J - 60.39 Other content distribution activities</t>
  </si>
  <si>
    <t>NACE_J6039</t>
  </si>
  <si>
    <t>K - TELECOMMUNICATION, COMPUTER PROGRAMMING, CONSULTING, COMPUTING INFRASTRUCTURE AND OTHER INFORMATION SERVICE ACTIVITIES</t>
  </si>
  <si>
    <t>NACE_K</t>
  </si>
  <si>
    <t>K - 61 Telecommunication</t>
  </si>
  <si>
    <t>NACE_K61</t>
  </si>
  <si>
    <t>K - 61.1 Wired, wireless, and satellite telecommunication activities</t>
  </si>
  <si>
    <t>NACE_K611</t>
  </si>
  <si>
    <t>K - 61.10 Wired, wireless, and satellite telecommunication activities</t>
  </si>
  <si>
    <t>NACE_K6110</t>
  </si>
  <si>
    <t>K - 61.2 Telecommunication reselling activities and intermediation service activities for telecommunication</t>
  </si>
  <si>
    <t>NACE_K612</t>
  </si>
  <si>
    <t>K - 61.20 Telecommunication reselling activities and intermediation service activities for telecommunication</t>
  </si>
  <si>
    <t>NACE_K6120</t>
  </si>
  <si>
    <t>K - 61.9 Other telecommunication activities</t>
  </si>
  <si>
    <t>NACE_K619</t>
  </si>
  <si>
    <t>K - 61.90 Other telecommunication activities</t>
  </si>
  <si>
    <t>NACE_K6190</t>
  </si>
  <si>
    <t>K - 62 Computer programming, consultancy and related activities</t>
  </si>
  <si>
    <t>NACE_K62</t>
  </si>
  <si>
    <t>K - 62.1 Computer programming activities</t>
  </si>
  <si>
    <t>NACE_K621</t>
  </si>
  <si>
    <t>K - 62.10 Computer programming activities</t>
  </si>
  <si>
    <t>NACE_K6210</t>
  </si>
  <si>
    <t>K - 62.2 Computer consultancy and computer facilities management activities</t>
  </si>
  <si>
    <t>NACE_K622</t>
  </si>
  <si>
    <t>K - 62.20 Computer consultancy and computer facilities management activities</t>
  </si>
  <si>
    <t>NACE_K6220</t>
  </si>
  <si>
    <t>K - 62.9 Other information technology and computer service activities</t>
  </si>
  <si>
    <t>NACE_K629</t>
  </si>
  <si>
    <t>K - 62.90 Other information technology and computer service activities</t>
  </si>
  <si>
    <t>NACE_K6290</t>
  </si>
  <si>
    <t>K - 63 Computing infrastructure, data processing, hosting and other information service activities</t>
  </si>
  <si>
    <t>NACE_K63</t>
  </si>
  <si>
    <t>K - 63.1 Computing infrastructure, data processing, hosting and related activities</t>
  </si>
  <si>
    <t>NACE_K631</t>
  </si>
  <si>
    <t>K - 63.10 Computing infrastructure, data processing, hosting and related activities</t>
  </si>
  <si>
    <t>NACE_K6310</t>
  </si>
  <si>
    <t>K - 63.9 Web search portal activities and other information service activities</t>
  </si>
  <si>
    <t>NACE_K639</t>
  </si>
  <si>
    <t>K - 63.91 Web search portal activities</t>
  </si>
  <si>
    <t>NACE_K6391</t>
  </si>
  <si>
    <t>K - 63.92 Other information service activities</t>
  </si>
  <si>
    <t>NACE_K6392</t>
  </si>
  <si>
    <t>L - FINANCIAL AND INSURANCE ACTIVITIES</t>
  </si>
  <si>
    <t>NACE_L</t>
  </si>
  <si>
    <t>L - 64 Financial service activities, except insurance and pension funding</t>
  </si>
  <si>
    <t>NACE_L64</t>
  </si>
  <si>
    <t>L - 64.1 Monetary intermediation</t>
  </si>
  <si>
    <t>NACE_L641</t>
  </si>
  <si>
    <t>L - 64.11 Central banking</t>
  </si>
  <si>
    <t>NACE_L6411</t>
  </si>
  <si>
    <t>L - 64.19 Other monetary intermediation</t>
  </si>
  <si>
    <t>NACE_L6419</t>
  </si>
  <si>
    <t>L - 64.2 Activities of holding companies and financing conduits</t>
  </si>
  <si>
    <t>NACE_L642</t>
  </si>
  <si>
    <t>L - 64.21 Activities of holding companies</t>
  </si>
  <si>
    <t>NACE_L6421</t>
  </si>
  <si>
    <t>L - 64.22 Activities of financing conduits</t>
  </si>
  <si>
    <t>NACE_L6422</t>
  </si>
  <si>
    <t>L - 64.3 Activities of trusts, funds and similar financial entities</t>
  </si>
  <si>
    <t>NACE_L643</t>
  </si>
  <si>
    <t>L - 64.31 Activities of money market and non-money market investments funds</t>
  </si>
  <si>
    <t>NACE_L6431</t>
  </si>
  <si>
    <t>L - 64.32 Activities of trust, estate and agency accounts</t>
  </si>
  <si>
    <t>NACE_L6432</t>
  </si>
  <si>
    <t>L - 64.9 Other financial service activities, except insurance and pension funding</t>
  </si>
  <si>
    <t>NACE_L649</t>
  </si>
  <si>
    <t>L - 64.91 Financial leasing</t>
  </si>
  <si>
    <t>NACE_L6491</t>
  </si>
  <si>
    <t>L - 64.92 Other credit granting</t>
  </si>
  <si>
    <t>NACE_L6492</t>
  </si>
  <si>
    <t>L - 64.99 Other financial service activities, except insurance and pension funding n.e.c.</t>
  </si>
  <si>
    <t>NACE_L6499</t>
  </si>
  <si>
    <t>L - 65 Insurance, reinsurance and pension funding, except compulsory social security</t>
  </si>
  <si>
    <t>NACE_L65</t>
  </si>
  <si>
    <t>L - 65.1 Insurance</t>
  </si>
  <si>
    <t>NACE_L651</t>
  </si>
  <si>
    <t>L - 65.11 Life insurance</t>
  </si>
  <si>
    <t>NACE_L6511</t>
  </si>
  <si>
    <t>L - 65.12 Non-life insurance</t>
  </si>
  <si>
    <t>NACE_L6512</t>
  </si>
  <si>
    <t>L - 65.2 Reinsurance</t>
  </si>
  <si>
    <t>NACE_L652</t>
  </si>
  <si>
    <t>L - 65.20 Reinsurance</t>
  </si>
  <si>
    <t>NACE_L6520</t>
  </si>
  <si>
    <t>L - 65.3 Pension funding</t>
  </si>
  <si>
    <t>NACE_L653</t>
  </si>
  <si>
    <t>L - 65.30 Pension funding</t>
  </si>
  <si>
    <t>NACE_L6530</t>
  </si>
  <si>
    <t>L - 66 Activities auxiliary to financial services and insurance activities</t>
  </si>
  <si>
    <t>NACE_L66</t>
  </si>
  <si>
    <t>L - 66.1 Activities auxiliary to financial services, except insurance and pension funding</t>
  </si>
  <si>
    <t>NACE_L661</t>
  </si>
  <si>
    <t>L - 66.11 Administration of financial markets</t>
  </si>
  <si>
    <t>NACE_L6611</t>
  </si>
  <si>
    <t>L - 66.12 Security and commodity contracts brokerage</t>
  </si>
  <si>
    <t>NACE_L6612</t>
  </si>
  <si>
    <t>L - 66.19 Other activities auxiliary to financial services, except insurance and pension funding</t>
  </si>
  <si>
    <t>NACE_L6619</t>
  </si>
  <si>
    <t>L - 66.2 Activities auxiliary to insurance and pension funding</t>
  </si>
  <si>
    <t>NACE_L662</t>
  </si>
  <si>
    <t>L - 66.21 Risk and damage evaluation</t>
  </si>
  <si>
    <t>NACE_L6621</t>
  </si>
  <si>
    <t>L - 66.22 Activities of insurance agents and brokers</t>
  </si>
  <si>
    <t>NACE_L6622</t>
  </si>
  <si>
    <t>L - 66.29 Activities auxiliary to insurance and pension funding n.e.c.</t>
  </si>
  <si>
    <t>NACE_L6629</t>
  </si>
  <si>
    <t>L - 66.3 Fund management activities</t>
  </si>
  <si>
    <t>NACE_L663</t>
  </si>
  <si>
    <t>L - 66.30 Fund management activities</t>
  </si>
  <si>
    <t>NACE_L6630</t>
  </si>
  <si>
    <t>M - REAL ESTATE ACTIVITIES</t>
  </si>
  <si>
    <t>NACE_M</t>
  </si>
  <si>
    <t>M - 68 Real estate activities</t>
  </si>
  <si>
    <t>NACE_M68</t>
  </si>
  <si>
    <t>M - 68.1 Real estate activities with own property and development of building projects</t>
  </si>
  <si>
    <t>NACE_M681</t>
  </si>
  <si>
    <t>M - 68.11 Buying and selling of own real estate</t>
  </si>
  <si>
    <t>NACE_M6811</t>
  </si>
  <si>
    <t>M - 68.12 Development of building projects</t>
  </si>
  <si>
    <t>NACE_M6812</t>
  </si>
  <si>
    <t>M - 68.2 Rental and operating of own or leased real estate</t>
  </si>
  <si>
    <t>NACE_M682</t>
  </si>
  <si>
    <t>M - 68.20 Rental and operating of own or leased real estate</t>
  </si>
  <si>
    <t>NACE_M6820</t>
  </si>
  <si>
    <t>M - 68.3 Real estate activities on a fee or contract basis</t>
  </si>
  <si>
    <t>NACE_M683</t>
  </si>
  <si>
    <t>M - 68.31 Intermediation service activities for real estate activities</t>
  </si>
  <si>
    <t>NACE_M6831</t>
  </si>
  <si>
    <t>M - 68.32 Other real estate activities on a fee or contract basis</t>
  </si>
  <si>
    <t>NACE_M6832</t>
  </si>
  <si>
    <t>N - PROFESSIONAL, SCIENTIFIC AND TECHNICAL ACTIVITIES</t>
  </si>
  <si>
    <t>NACE_N</t>
  </si>
  <si>
    <t>N - 69 Legal and accounting activities</t>
  </si>
  <si>
    <t>NACE_N69</t>
  </si>
  <si>
    <t>N - 69.1 Legal activities</t>
  </si>
  <si>
    <t>NACE_N691</t>
  </si>
  <si>
    <t>N - 69.10 Legal activities</t>
  </si>
  <si>
    <t>NACE_N6910</t>
  </si>
  <si>
    <t>N - 69.2 Accounting, bookkeeping and auditing activities; tax consultancy</t>
  </si>
  <si>
    <t>NACE_N692</t>
  </si>
  <si>
    <t>N - 69.20 Accounting, bookkeeping and auditing activities; tax consultancy</t>
  </si>
  <si>
    <t>NACE_N6920</t>
  </si>
  <si>
    <t>N - 70 Activities of head offices and management consultancy</t>
  </si>
  <si>
    <t>NACE_N70</t>
  </si>
  <si>
    <t>N - 70.1 Activities of head offices</t>
  </si>
  <si>
    <t>NACE_N701</t>
  </si>
  <si>
    <t>N - 70.10 Activities of head offices</t>
  </si>
  <si>
    <t>NACE_N7010</t>
  </si>
  <si>
    <t>N - 70.2 Business and other management consultancy activities</t>
  </si>
  <si>
    <t>NACE_N702</t>
  </si>
  <si>
    <t>N - 70.20 Business and other management consultancy activities</t>
  </si>
  <si>
    <t>NACE_N7020</t>
  </si>
  <si>
    <t>N - 71 Architectural and engineering activities; technical testing and analysis</t>
  </si>
  <si>
    <t>NACE_N71</t>
  </si>
  <si>
    <t>N - 71.1 Architectural and engineering activities and related technical consultancy</t>
  </si>
  <si>
    <t>NACE_N711</t>
  </si>
  <si>
    <t>N - 71.11 Architectural activities</t>
  </si>
  <si>
    <t>NACE_N7111</t>
  </si>
  <si>
    <t>N - 71.12 Engineering activities and related technical consultancy</t>
  </si>
  <si>
    <t>NACE_N7112</t>
  </si>
  <si>
    <t>N - 71.2 Technical testing and analysis</t>
  </si>
  <si>
    <t>NACE_N712</t>
  </si>
  <si>
    <t>N - 71.20 Technical testing and analysis</t>
  </si>
  <si>
    <t>NACE_N7120</t>
  </si>
  <si>
    <t>N - 72 Scientific research and development</t>
  </si>
  <si>
    <t>NACE_N72</t>
  </si>
  <si>
    <t>N - 72.1 Research and experimental development on natural sciences and engineering</t>
  </si>
  <si>
    <t>NACE_N721</t>
  </si>
  <si>
    <t>N - 72.10 Research and experimental development on natural sciences and engineering</t>
  </si>
  <si>
    <t>NACE_N7210</t>
  </si>
  <si>
    <t>N - 72.2 Research and experimental development on social sciences and humanities</t>
  </si>
  <si>
    <t>NACE_N722</t>
  </si>
  <si>
    <t>N - 72.20 Research and experimental development on social sciences and humanities</t>
  </si>
  <si>
    <t>NACE_N7220</t>
  </si>
  <si>
    <t>N - 73 Activities of advertising, market research and public relations</t>
  </si>
  <si>
    <t>NACE_N73</t>
  </si>
  <si>
    <t>N - 73.1 Advertising</t>
  </si>
  <si>
    <t>NACE_N731</t>
  </si>
  <si>
    <t>N - 73.11 Activities of advertising agencies</t>
  </si>
  <si>
    <t>NACE_N7311</t>
  </si>
  <si>
    <t>N - 73.12 Media representation</t>
  </si>
  <si>
    <t>NACE_N7312</t>
  </si>
  <si>
    <t>N - 73.2 Market research and public opinion polling</t>
  </si>
  <si>
    <t>NACE_N732</t>
  </si>
  <si>
    <t>N - 73.20 Market research and public opinion polling</t>
  </si>
  <si>
    <t>NACE_N7320</t>
  </si>
  <si>
    <t>N - 73.3 Public relations and communication activities</t>
  </si>
  <si>
    <t>NACE_N733</t>
  </si>
  <si>
    <t>N - 73.30 Public relations and communication activities</t>
  </si>
  <si>
    <t>NACE_N7330</t>
  </si>
  <si>
    <t>N - 74 Other professional, scientific and technical activities</t>
  </si>
  <si>
    <t>NACE_N74</t>
  </si>
  <si>
    <t>N - 74.1 Specialised design activities</t>
  </si>
  <si>
    <t>NACE_N741</t>
  </si>
  <si>
    <t>N - 74.11 Industrial product and fashion design activities</t>
  </si>
  <si>
    <t>NACE_N7411</t>
  </si>
  <si>
    <t>N - 74.12 Graphic design and visual communication activities</t>
  </si>
  <si>
    <t>NACE_N7412</t>
  </si>
  <si>
    <t>N - 74.13 Interior design activities</t>
  </si>
  <si>
    <t>NACE_N7413</t>
  </si>
  <si>
    <t>N - 74.14 Other specialised design activities</t>
  </si>
  <si>
    <t>NACE_N7414</t>
  </si>
  <si>
    <t>N - 74.2 Photographic activities</t>
  </si>
  <si>
    <t>NACE_N742</t>
  </si>
  <si>
    <t>N - 74.20 Photographic activities</t>
  </si>
  <si>
    <t>NACE_N7420</t>
  </si>
  <si>
    <t>N - 74.3 Translation and interpretation activities</t>
  </si>
  <si>
    <t>NACE_N743</t>
  </si>
  <si>
    <t>N - 74.30 Translation and interpretation activities</t>
  </si>
  <si>
    <t>NACE_N7430</t>
  </si>
  <si>
    <t>N - 74.9 Other professional, scientific and technical activities n.e.c.</t>
  </si>
  <si>
    <t>NACE_N749</t>
  </si>
  <si>
    <t>N - 74.91 Patent brokering and marketing service activities</t>
  </si>
  <si>
    <t>NACE_N7491</t>
  </si>
  <si>
    <t>N - 74.99 All other professional, scientific and technical activities n.e.c.</t>
  </si>
  <si>
    <t>NACE_N7499</t>
  </si>
  <si>
    <t>N - 75 Veterinary activities</t>
  </si>
  <si>
    <t>NACE_N75</t>
  </si>
  <si>
    <t>N - 75.0 Veterinary activities</t>
  </si>
  <si>
    <t>NACE_N750</t>
  </si>
  <si>
    <t>N - 75.00 Veterinary activities</t>
  </si>
  <si>
    <t>NACE_N7500</t>
  </si>
  <si>
    <t>O - ADMINISTRATIVE AND SUPPORT SERVICE ACTIVITIES</t>
  </si>
  <si>
    <t>NACE_O</t>
  </si>
  <si>
    <t>O - 77 Rental and leasing activities</t>
  </si>
  <si>
    <t>NACE_O77</t>
  </si>
  <si>
    <t>O - 77.1 Rental and leasing of motor vehicles</t>
  </si>
  <si>
    <t>NACE_O771</t>
  </si>
  <si>
    <t>O - 77.11 Rental and leasing of cars and light motor vehicles</t>
  </si>
  <si>
    <t>NACE_O7711</t>
  </si>
  <si>
    <t>O - 77.12 Rental and leasing of trucks</t>
  </si>
  <si>
    <t>NACE_O7712</t>
  </si>
  <si>
    <t>O - 77.2 Rental and leasing of personal and household goods</t>
  </si>
  <si>
    <t>NACE_O772</t>
  </si>
  <si>
    <t>O - 77.21 Rental and leasing of recreational and sports goods</t>
  </si>
  <si>
    <t>NACE_O7721</t>
  </si>
  <si>
    <t>O - 77.22 Rental and leasing of other personal and household goods</t>
  </si>
  <si>
    <t>NACE_O7722</t>
  </si>
  <si>
    <t>O - 77.3 Rental and leasing of other machinery, equipment and tangible goods</t>
  </si>
  <si>
    <t>NACE_O773</t>
  </si>
  <si>
    <t>O - 77.31 Rental and leasing of agricultural machinery and equipment</t>
  </si>
  <si>
    <t>NACE_O7731</t>
  </si>
  <si>
    <t>O - 77.32 Rental and leasing of construction and civil engineering machinery and equipment</t>
  </si>
  <si>
    <t>NACE_O7732</t>
  </si>
  <si>
    <t>O - 77.33 Rental and leasing of office machinery, equipment and computers</t>
  </si>
  <si>
    <t>NACE_O7733</t>
  </si>
  <si>
    <t>O - 77.34 Rental and leasing of water transport equipment</t>
  </si>
  <si>
    <t>NACE_O7734</t>
  </si>
  <si>
    <t>O - 77.35 Rental and leasing of air transport equipment</t>
  </si>
  <si>
    <t>NACE_O7735</t>
  </si>
  <si>
    <t>O - 77.39 Rental and leasing of other machinery, equipment and tangible goods n.e.c.</t>
  </si>
  <si>
    <t>NACE_O7739</t>
  </si>
  <si>
    <t>O - 77.4 Leasing of intellectual property and similar products, except copyrighted works</t>
  </si>
  <si>
    <t>NACE_O774</t>
  </si>
  <si>
    <t>O - 77.40 Leasing of intellectual property and similar products, except copyrighted works</t>
  </si>
  <si>
    <t>NACE_O7740</t>
  </si>
  <si>
    <t>O - 77.5 Intermediation service activities for rental and leasing of tangible goods and non-financial intangible assets</t>
  </si>
  <si>
    <t>NACE_O775</t>
  </si>
  <si>
    <t>O - 77.51 Intermediation service activities for rental and leasing of cars, motorhomes and trailers</t>
  </si>
  <si>
    <t>NACE_O7751</t>
  </si>
  <si>
    <t>O - 77.52 Intermediation service activities for rental and leasing of other tangible goods and non-financial intangible assets</t>
  </si>
  <si>
    <t>NACE_O7752</t>
  </si>
  <si>
    <t>O - 78 Employment activities</t>
  </si>
  <si>
    <t>NACE_O78</t>
  </si>
  <si>
    <t>O - 78.1 Activities of employment placement agencies</t>
  </si>
  <si>
    <t>NACE_O781</t>
  </si>
  <si>
    <t>O - 78.10 Activities of employment placement agencies</t>
  </si>
  <si>
    <t>NACE_O7810</t>
  </si>
  <si>
    <t>O - 78.2 Temporary employment agency activities and other human resource provisions</t>
  </si>
  <si>
    <t>NACE_O782</t>
  </si>
  <si>
    <t>O - 78.20 Temporary employment agency activities and other human resource provisions</t>
  </si>
  <si>
    <t>NACE_O7820</t>
  </si>
  <si>
    <t>O - 79 Travel agency, tour operator and other reservation service and related activities</t>
  </si>
  <si>
    <t>NACE_O79</t>
  </si>
  <si>
    <t>O - 79.1 Travel agency and tour operator activities</t>
  </si>
  <si>
    <t>NACE_O791</t>
  </si>
  <si>
    <t>O - 79.11 Travel agency activities</t>
  </si>
  <si>
    <t>NACE_O7911</t>
  </si>
  <si>
    <t>O - 79.12 Tour operator activities</t>
  </si>
  <si>
    <t>NACE_O7912</t>
  </si>
  <si>
    <t>O - 79.9 Other reservation service and related activities</t>
  </si>
  <si>
    <t>NACE_O799</t>
  </si>
  <si>
    <t>O - 79.90 Other reservation service and related activities</t>
  </si>
  <si>
    <t>NACE_O7990</t>
  </si>
  <si>
    <t>O - 80 Investigation and security activities</t>
  </si>
  <si>
    <t>NACE_O80</t>
  </si>
  <si>
    <t>O - 80.0 Investigation and security activities</t>
  </si>
  <si>
    <t>NACE_O800</t>
  </si>
  <si>
    <t>O - 80.01 Investigation and private security activities</t>
  </si>
  <si>
    <t>NACE_O8001</t>
  </si>
  <si>
    <t>O - 80.09 Security activities n.e.c.</t>
  </si>
  <si>
    <t>NACE_O8009</t>
  </si>
  <si>
    <t>O - 81 Services to buildings and landscape activities</t>
  </si>
  <si>
    <t>NACE_O81</t>
  </si>
  <si>
    <t>O - 81.1 Combined facilities support activities</t>
  </si>
  <si>
    <t>NACE_O811</t>
  </si>
  <si>
    <t>O - 81.10 Combined facilities support activities</t>
  </si>
  <si>
    <t>NACE_O8110</t>
  </si>
  <si>
    <t>O - 81.2 Cleaning activities</t>
  </si>
  <si>
    <t>NACE_O812</t>
  </si>
  <si>
    <t>O - 81.21 General cleaning of buildings</t>
  </si>
  <si>
    <t>NACE_O8121</t>
  </si>
  <si>
    <t>O - 81.22 Other building and industrial cleaning activities</t>
  </si>
  <si>
    <t>NACE_O8122</t>
  </si>
  <si>
    <t>O - 81.23 Other cleaning activities</t>
  </si>
  <si>
    <t>NACE_O8123</t>
  </si>
  <si>
    <t>O - 81.3 Landscape service activities</t>
  </si>
  <si>
    <t>NACE_O813</t>
  </si>
  <si>
    <t>O - 81.30 Landscape service activities</t>
  </si>
  <si>
    <t>NACE_O8130</t>
  </si>
  <si>
    <t>O - 82 Office administrative, office support and other business support activities</t>
  </si>
  <si>
    <t>NACE_O82</t>
  </si>
  <si>
    <t>O - 82.1 Office administrative and support activities</t>
  </si>
  <si>
    <t>NACE_O821</t>
  </si>
  <si>
    <t>O - 82.10 Office administrative and support activities</t>
  </si>
  <si>
    <t>NACE_O8210</t>
  </si>
  <si>
    <t>O - 82.2 Activities of call centres</t>
  </si>
  <si>
    <t>NACE_O822</t>
  </si>
  <si>
    <t>O - 82.20 Activities of call centres</t>
  </si>
  <si>
    <t>NACE_O8220</t>
  </si>
  <si>
    <t>O - 82.3 Organisation of conventions and trade shows</t>
  </si>
  <si>
    <t>NACE_O823</t>
  </si>
  <si>
    <t>O - 82.30 Organisation of conventions and trade shows</t>
  </si>
  <si>
    <t>NACE_O8230</t>
  </si>
  <si>
    <t>O - 82.4 Intermediation service activities for business support service activities n.e.c.</t>
  </si>
  <si>
    <t>NACE_O824</t>
  </si>
  <si>
    <t>O - 82.40 Intermediation service activities for business support service activities n.e.c.</t>
  </si>
  <si>
    <t>NACE_O8240</t>
  </si>
  <si>
    <t>O - 82.9 Business support service activities n.e.c.</t>
  </si>
  <si>
    <t>NACE_O829</t>
  </si>
  <si>
    <t>O - 82.91 Activities of collection agencies and credit bureaus</t>
  </si>
  <si>
    <t>NACE_O8291</t>
  </si>
  <si>
    <t>O - 82.92 Packaging activities</t>
  </si>
  <si>
    <t>NACE_O8292</t>
  </si>
  <si>
    <t>O - 82.99 Other business support service activities n.e.c.</t>
  </si>
  <si>
    <t>NACE_O8299</t>
  </si>
  <si>
    <t>P - PUBLIC ADMINISTRATION AND DEFENCE; COMPULSORY SOCIAL SECURITY</t>
  </si>
  <si>
    <t>NACE_P</t>
  </si>
  <si>
    <t>P - 84 Public administration and defence; compulsory social security</t>
  </si>
  <si>
    <t>NACE_P84</t>
  </si>
  <si>
    <t>P - 84.1 Administration of the State and the economic, social and environmental policies of the community</t>
  </si>
  <si>
    <t>NACE_P841</t>
  </si>
  <si>
    <t>P - 84.11 General public administration activities</t>
  </si>
  <si>
    <t>NACE_P8411</t>
  </si>
  <si>
    <t>P - 84.12 Regulation of health care, education, cultural services and other social services</t>
  </si>
  <si>
    <t>NACE_P8412</t>
  </si>
  <si>
    <t>P - 84.13 Regulation of and contribution to more efficient operation of businesses</t>
  </si>
  <si>
    <t>NACE_P8413</t>
  </si>
  <si>
    <t>P - 84.2 Provision of services to the community as a whole</t>
  </si>
  <si>
    <t>NACE_P842</t>
  </si>
  <si>
    <t>P - 84.21 Foreign affairs</t>
  </si>
  <si>
    <t>NACE_P8421</t>
  </si>
  <si>
    <t>P - 84.22 Defence activities</t>
  </si>
  <si>
    <t>NACE_P8422</t>
  </si>
  <si>
    <t>P - 84.23 Justice and judicial activities</t>
  </si>
  <si>
    <t>NACE_P8423</t>
  </si>
  <si>
    <t>P - 84.24 Public order and safety activities</t>
  </si>
  <si>
    <t>NACE_P8424</t>
  </si>
  <si>
    <t>P - 84.25 Fire service activities</t>
  </si>
  <si>
    <t>NACE_P8425</t>
  </si>
  <si>
    <t>P - 84.3 Compulsory social security activities</t>
  </si>
  <si>
    <t>NACE_P843</t>
  </si>
  <si>
    <t>P - 84.30 Compulsory social security activities</t>
  </si>
  <si>
    <t>NACE_P8430</t>
  </si>
  <si>
    <t>Q - EDUCATION</t>
  </si>
  <si>
    <t>NACE_Q</t>
  </si>
  <si>
    <t>Q - 85 Education</t>
  </si>
  <si>
    <t>NACE_Q85</t>
  </si>
  <si>
    <t>Q - 85.1 Pre-primary education</t>
  </si>
  <si>
    <t>NACE_Q851</t>
  </si>
  <si>
    <t>Q - 85.10 Pre-primary education</t>
  </si>
  <si>
    <t>NACE_Q8510</t>
  </si>
  <si>
    <t>Q - 85.2 Primary education</t>
  </si>
  <si>
    <t>NACE_Q852</t>
  </si>
  <si>
    <t>Q - 85.20 Primary education</t>
  </si>
  <si>
    <t>NACE_Q8520</t>
  </si>
  <si>
    <t>Q - 85.3 Secondary and post-secondary non-tertiary education</t>
  </si>
  <si>
    <t>NACE_Q853</t>
  </si>
  <si>
    <t>Q - 85.31 General secondary education</t>
  </si>
  <si>
    <t>NACE_Q8531</t>
  </si>
  <si>
    <t>Q - 85.32 Vocational secondary education</t>
  </si>
  <si>
    <t>NACE_Q8532</t>
  </si>
  <si>
    <t>Q - 85.33 Post-secondary non-tertiary education</t>
  </si>
  <si>
    <t>NACE_Q8533</t>
  </si>
  <si>
    <t>Q - 85.4 Tertiary education</t>
  </si>
  <si>
    <t>NACE_Q854</t>
  </si>
  <si>
    <t>Q - 85.40 Tertiary education</t>
  </si>
  <si>
    <t>NACE_Q8540</t>
  </si>
  <si>
    <t>Q - 85.5 Other education</t>
  </si>
  <si>
    <t>NACE_Q855</t>
  </si>
  <si>
    <t>Q - 85.51 Sports and recreation education</t>
  </si>
  <si>
    <t>NACE_Q8551</t>
  </si>
  <si>
    <t>Q - 85.52 Cultural education</t>
  </si>
  <si>
    <t>NACE_Q8552</t>
  </si>
  <si>
    <t>Q - 85.53 Driving school activities</t>
  </si>
  <si>
    <t>NACE_Q8553</t>
  </si>
  <si>
    <t>Q - 85.59 Other education n.e.c.</t>
  </si>
  <si>
    <t>NACE_Q8559</t>
  </si>
  <si>
    <t>Q - 85.6 Educational support activities</t>
  </si>
  <si>
    <t>NACE_Q856</t>
  </si>
  <si>
    <t>Q - 85.61 Intermediation service activities for courses and tutors</t>
  </si>
  <si>
    <t>NACE_Q8561</t>
  </si>
  <si>
    <t>Q - 85.69 Educational support activities n.e.c.</t>
  </si>
  <si>
    <t>NACE_Q8569</t>
  </si>
  <si>
    <t>R - HUMAN HEALTH AND SOCIAL WORK ACTIVITIES</t>
  </si>
  <si>
    <t>NACE_R</t>
  </si>
  <si>
    <t>R - 86 Human health activities</t>
  </si>
  <si>
    <t>NACE_R86</t>
  </si>
  <si>
    <t>R - 86.1 Hospital activities</t>
  </si>
  <si>
    <t>NACE_R861</t>
  </si>
  <si>
    <t>R - 86.10 Hospital activities</t>
  </si>
  <si>
    <t>NACE_R8610</t>
  </si>
  <si>
    <t>R - 86.2 Medical and dental practice activities</t>
  </si>
  <si>
    <t>NACE_R862</t>
  </si>
  <si>
    <t>R - 86.21 General medical practice activities</t>
  </si>
  <si>
    <t>NACE_R8621</t>
  </si>
  <si>
    <t>R - 86.22 Medical specialists activities</t>
  </si>
  <si>
    <t>NACE_R8622</t>
  </si>
  <si>
    <t>R - 86.23 Dental practice care activities</t>
  </si>
  <si>
    <t>NACE_R8623</t>
  </si>
  <si>
    <t>R - 86.9 Other human health activities</t>
  </si>
  <si>
    <t>NACE_R869</t>
  </si>
  <si>
    <t>R - 86.91 Diagnostic imaging services and medical laboratory activities</t>
  </si>
  <si>
    <t>NACE_R8691</t>
  </si>
  <si>
    <t>R - 86.92 Patient transportation by ambulance</t>
  </si>
  <si>
    <t>NACE_R8692</t>
  </si>
  <si>
    <t>R - 86.93 Activities of psychologists and psychotherapists, except medical doctors</t>
  </si>
  <si>
    <t>NACE_R8693</t>
  </si>
  <si>
    <t>R - 86.94 Nursing and midwifery activities</t>
  </si>
  <si>
    <t>NACE_R8694</t>
  </si>
  <si>
    <t>R - 86.95 Physiotherapy activities</t>
  </si>
  <si>
    <t>NACE_R8695</t>
  </si>
  <si>
    <t>R - 86.96 Traditional, complementary and alternative medicine activities</t>
  </si>
  <si>
    <t>NACE_R8696</t>
  </si>
  <si>
    <t>R - 86.97 Intermediation service activities for medical, dental and other human health services</t>
  </si>
  <si>
    <t>NACE_R8697</t>
  </si>
  <si>
    <t>R - 86.99 Other human health activities n.e.c.</t>
  </si>
  <si>
    <t>NACE_R8699</t>
  </si>
  <si>
    <t>R - 87 Residential care activities</t>
  </si>
  <si>
    <t>NACE_R87</t>
  </si>
  <si>
    <t>R - 87.1 Residential nursing care activities</t>
  </si>
  <si>
    <t>NACE_R871</t>
  </si>
  <si>
    <t>R - 87.10 Residential nursing care activities</t>
  </si>
  <si>
    <t>NACE_R8710</t>
  </si>
  <si>
    <t>R - 87.2 Residential care activities for persons living with or having a diagnosis of a mental illness or substance abuse</t>
  </si>
  <si>
    <t>NACE_R872</t>
  </si>
  <si>
    <t>R - 87.20 Residential care activities for persons living with or having a diagnosis of a mental illness or substance abuse</t>
  </si>
  <si>
    <t>NACE_R8720</t>
  </si>
  <si>
    <t>R - 87.3 Residential care activities for older persons or persons with physical disabilities</t>
  </si>
  <si>
    <t>NACE_R873</t>
  </si>
  <si>
    <t>R - 87.30 Residential care activities for older persons or persons with physical disabilities</t>
  </si>
  <si>
    <t>NACE_R8730</t>
  </si>
  <si>
    <t>R - 87.9 Other residential care activities</t>
  </si>
  <si>
    <t>NACE_R879</t>
  </si>
  <si>
    <t>R - 87.91 Intermediation service activities for residential care activities</t>
  </si>
  <si>
    <t>NACE_R8791</t>
  </si>
  <si>
    <t>R - 87.99 Other residential care activities n.e.c.</t>
  </si>
  <si>
    <t>NACE_R8799</t>
  </si>
  <si>
    <t>R - 88 Social work activities without accommodation</t>
  </si>
  <si>
    <t>NACE_R88</t>
  </si>
  <si>
    <t>R - 88.1 Social work activities without accommodation for older persons or persons with disabilities</t>
  </si>
  <si>
    <t>NACE_R881</t>
  </si>
  <si>
    <t>R - 88.10 Social work activities without accommodation for older persons or persons with disabilities</t>
  </si>
  <si>
    <t>NACE_R8810</t>
  </si>
  <si>
    <t>R - 88.9 Other social work activities without accommodation</t>
  </si>
  <si>
    <t>NACE_R889</t>
  </si>
  <si>
    <t>R - 88.91 Child day-care activities</t>
  </si>
  <si>
    <t>NACE_R8891</t>
  </si>
  <si>
    <t>R - 88.99 Other social work activities without accommodation n.e.c.</t>
  </si>
  <si>
    <t>NACE_R8899</t>
  </si>
  <si>
    <t>S - ARTS, SPORTS AND RECREATION</t>
  </si>
  <si>
    <t>NACE_S</t>
  </si>
  <si>
    <t>S - 90 Arts creation and performing arts activities</t>
  </si>
  <si>
    <t>NACE_S90</t>
  </si>
  <si>
    <t>S - 90.1 Arts creation activities</t>
  </si>
  <si>
    <t>NACE_S901</t>
  </si>
  <si>
    <t>S - 90.11 Literary creation and musical composition activities</t>
  </si>
  <si>
    <t>NACE_S9011</t>
  </si>
  <si>
    <t>S - 90.12 Visual arts creation activities</t>
  </si>
  <si>
    <t>NACE_S9012</t>
  </si>
  <si>
    <t>S - 90.13 Other arts creation activities</t>
  </si>
  <si>
    <t>NACE_S9013</t>
  </si>
  <si>
    <t>S - 90.2 Activities of performing arts</t>
  </si>
  <si>
    <t>NACE_S902</t>
  </si>
  <si>
    <t>S - 90.20 Activities of performing arts</t>
  </si>
  <si>
    <t>NACE_S9020</t>
  </si>
  <si>
    <t>S - 90.3 Support activities to arts creation and performing arts</t>
  </si>
  <si>
    <t>NACE_S903</t>
  </si>
  <si>
    <t>S - 90.31 Operation of arts facilities and sites</t>
  </si>
  <si>
    <t>NACE_S9031</t>
  </si>
  <si>
    <t>S - 90.39 Other support activities to arts and performing arts</t>
  </si>
  <si>
    <t>NACE_S9039</t>
  </si>
  <si>
    <t>S - 91 Libraries, archives, museums and other cultural activities</t>
  </si>
  <si>
    <t>NACE_S91</t>
  </si>
  <si>
    <t>S - 91.1 Library and archive activities</t>
  </si>
  <si>
    <t>NACE_S911</t>
  </si>
  <si>
    <t>S - 91.11 Library activities</t>
  </si>
  <si>
    <t>NACE_S9111</t>
  </si>
  <si>
    <t>S - 91.12 Archive activities</t>
  </si>
  <si>
    <t>NACE_S9112</t>
  </si>
  <si>
    <t>S - 91.2 Museum, collection, historical site and monument activities</t>
  </si>
  <si>
    <t>NACE_S912</t>
  </si>
  <si>
    <t>S - 91.21 Museum and collection activities</t>
  </si>
  <si>
    <t>NACE_S9121</t>
  </si>
  <si>
    <t>S - 91.22 Historical site and monument activities</t>
  </si>
  <si>
    <t>NACE_S9122</t>
  </si>
  <si>
    <t>S - 91.3 Conservation, restoration and other support activities for cultural heritage</t>
  </si>
  <si>
    <t>NACE_S913</t>
  </si>
  <si>
    <t>S - 91.30 Conservation, restoration and other support activities for cultural heritage</t>
  </si>
  <si>
    <t>NACE_S9130</t>
  </si>
  <si>
    <t>S - 91.4 Botanical and zoological garden and nature reserve activities</t>
  </si>
  <si>
    <t>NACE_S914</t>
  </si>
  <si>
    <t>S - 91.41 Botanical and zoological garden activities</t>
  </si>
  <si>
    <t>NACE_S9141</t>
  </si>
  <si>
    <t>S - 91.42 Nature reserve activities</t>
  </si>
  <si>
    <t>NACE_S9142</t>
  </si>
  <si>
    <t>S - 92 Gambling and betting activities</t>
  </si>
  <si>
    <t>NACE_S92</t>
  </si>
  <si>
    <t>S - 92.0 Gambling and betting activities</t>
  </si>
  <si>
    <t>NACE_S920</t>
  </si>
  <si>
    <t>S - 92.00 Gambling and betting activities</t>
  </si>
  <si>
    <t>NACE_S9200</t>
  </si>
  <si>
    <t>S - 93 Sports activities and amusement and recreation activities</t>
  </si>
  <si>
    <t>NACE_S93</t>
  </si>
  <si>
    <t>S - 93.1 Sports activities</t>
  </si>
  <si>
    <t>NACE_S931</t>
  </si>
  <si>
    <t>S - 93.11 Operation of sports facilities</t>
  </si>
  <si>
    <t>NACE_S9311</t>
  </si>
  <si>
    <t>S - 93.12 Activities of sports clubs</t>
  </si>
  <si>
    <t>NACE_S9312</t>
  </si>
  <si>
    <t>S - 93.13 Activities of fitness centres</t>
  </si>
  <si>
    <t>NACE_S9313</t>
  </si>
  <si>
    <t>S - 93.19 Sports activities n.e.c.</t>
  </si>
  <si>
    <t>NACE_S9319</t>
  </si>
  <si>
    <t>S - 93.2 Amusement and recreation activities</t>
  </si>
  <si>
    <t>NACE_S932</t>
  </si>
  <si>
    <t>S - 93.21 Activities of amusement parks and theme parks</t>
  </si>
  <si>
    <t>NACE_S9321</t>
  </si>
  <si>
    <t>S - 93.29 Amusement and recreation activities n.e.c.</t>
  </si>
  <si>
    <t>NACE_S9329</t>
  </si>
  <si>
    <t>T - OTHER SERVICE ACTIVITIES</t>
  </si>
  <si>
    <t>NACE_T</t>
  </si>
  <si>
    <t>T - 94 Activities of membership organisations</t>
  </si>
  <si>
    <t>NACE_T94</t>
  </si>
  <si>
    <t>T - 94.1 Activities of business, employers and professional membership organisations</t>
  </si>
  <si>
    <t>NACE_T941</t>
  </si>
  <si>
    <t>T - 94.11 Activities of business and employers membership organisations</t>
  </si>
  <si>
    <t>NACE_T9411</t>
  </si>
  <si>
    <t>T - 94.12 Activities of professional membership organisations</t>
  </si>
  <si>
    <t>NACE_T9412</t>
  </si>
  <si>
    <t>T - 94.2 Activities of trade unions</t>
  </si>
  <si>
    <t>NACE_T942</t>
  </si>
  <si>
    <t>T - 94.20 Activities of trade unions</t>
  </si>
  <si>
    <t>NACE_T9420</t>
  </si>
  <si>
    <t>T - 94.9 Activities of other membership organisations</t>
  </si>
  <si>
    <t>NACE_T949</t>
  </si>
  <si>
    <t>T - 94.91 Activities of religious organisations</t>
  </si>
  <si>
    <t>NACE_T9491</t>
  </si>
  <si>
    <t>T - 94.92 Activities of political organisations</t>
  </si>
  <si>
    <t>NACE_T9492</t>
  </si>
  <si>
    <t>T - 94.99 Activities of other membership organisations n.e.c.</t>
  </si>
  <si>
    <t>NACE_T9499</t>
  </si>
  <si>
    <t>T - 95 Repair and maintenance of computers, personal and household goods, and motor vehicles and motorcycles</t>
  </si>
  <si>
    <t>NACE_T95</t>
  </si>
  <si>
    <t>T - 95.1 Repair and maintenance of computers and communication equipment</t>
  </si>
  <si>
    <t>NACE_T951</t>
  </si>
  <si>
    <t>T - 95.10 Repair and maintenance of computers and communication equipment</t>
  </si>
  <si>
    <t>NACE_T9510</t>
  </si>
  <si>
    <t>T - 95.2 Repair and maintenance of personal and household goods</t>
  </si>
  <si>
    <t>NACE_T952</t>
  </si>
  <si>
    <t>T - 95.21 Repair and maintenance of consumer electronics</t>
  </si>
  <si>
    <t>NACE_T9521</t>
  </si>
  <si>
    <t>T - 95.22 Repair and maintenance of household appliances and home and garden equipment</t>
  </si>
  <si>
    <t>NACE_T9522</t>
  </si>
  <si>
    <t>T - 95.23 Repair and maintenance of footwear and leather goods</t>
  </si>
  <si>
    <t>NACE_T9523</t>
  </si>
  <si>
    <t>T - 95.24 Repair and maintenance of furniture and home furnishings</t>
  </si>
  <si>
    <t>NACE_T9524</t>
  </si>
  <si>
    <t>T - 95.25 Repair and maintenance of watches, clocks and jewellery</t>
  </si>
  <si>
    <t>NACE_T9525</t>
  </si>
  <si>
    <t>T - 95.29 Repair and maintenance of personal and household goods n.e.c.</t>
  </si>
  <si>
    <t>NACE_T9529</t>
  </si>
  <si>
    <t>T - 95.3 Repair and maintenance of motor vehicles and motorcycles</t>
  </si>
  <si>
    <t>NACE_T953</t>
  </si>
  <si>
    <t>T - 95.31 Repair and maintenance of motor vehicles</t>
  </si>
  <si>
    <t>NACE_T9531</t>
  </si>
  <si>
    <t>T - 95.32 Repair and maintenance of motorcycles</t>
  </si>
  <si>
    <t>NACE_T9532</t>
  </si>
  <si>
    <t>T - 95.4 Intermediation service activities for repair and maintenance of computers, personal and household goods, and motor vehicles and motorcycles</t>
  </si>
  <si>
    <t>NACE_T954</t>
  </si>
  <si>
    <t>T - 95.40 Intermediation service activities for repair and maintenance of computers, personal and household goods, and motor vehicles and motorcycles</t>
  </si>
  <si>
    <t>NACE_T9540</t>
  </si>
  <si>
    <t>T - 96 Personal service activities</t>
  </si>
  <si>
    <t>NACE_T96</t>
  </si>
  <si>
    <t>T - 96.1 Washing and cleaning of textile and fur products</t>
  </si>
  <si>
    <t>NACE_T961</t>
  </si>
  <si>
    <t>T - 96.10 Washing and cleaning of textile and fur products</t>
  </si>
  <si>
    <t>NACE_T9610</t>
  </si>
  <si>
    <t>T - 96.2 Hairdressing, beauty treatment, day spa and similar activities</t>
  </si>
  <si>
    <t>NACE_T962</t>
  </si>
  <si>
    <t>T - 96.21 Hairdressing and barber activities</t>
  </si>
  <si>
    <t>NACE_T9621</t>
  </si>
  <si>
    <t>T - 96.22 Beauty care and other beauty treatment activities</t>
  </si>
  <si>
    <t>NACE_T9622</t>
  </si>
  <si>
    <t>T - 96.23 Day spa, sauna and steam bath activities</t>
  </si>
  <si>
    <t>NACE_T9623</t>
  </si>
  <si>
    <t>T - 96.3 Funeral and related activities</t>
  </si>
  <si>
    <t>NACE_T963</t>
  </si>
  <si>
    <t>T - 96.30 Funeral and related activities</t>
  </si>
  <si>
    <t>NACE_T9630</t>
  </si>
  <si>
    <t>T - 96.4 Intermediation service activities for personal services</t>
  </si>
  <si>
    <t>NACE_T964</t>
  </si>
  <si>
    <t>T - 96.40 Intermediation service activities for personal services</t>
  </si>
  <si>
    <t>NACE_T9640</t>
  </si>
  <si>
    <t>T - 96.9 Other personal service activities</t>
  </si>
  <si>
    <t>NACE_T969</t>
  </si>
  <si>
    <t>T - 96.91 Provision of domestic personal service activities</t>
  </si>
  <si>
    <t>NACE_T9691</t>
  </si>
  <si>
    <t>T - 96.99 Other personal service activities n.e.c.</t>
  </si>
  <si>
    <t>NACE_T9699</t>
  </si>
  <si>
    <t>U - ACTIVITIES OF HOUSEHOLDS AS EMPLOYERS AND UNDIFFERENTIATED GOODS – AND SERVICE-PRODUCING ACTIVITIES OF HOUSEHOLDS FOR OWN USE</t>
  </si>
  <si>
    <t>NACE_U</t>
  </si>
  <si>
    <t>U - 97 Activities of households as employers of domestic personnel</t>
  </si>
  <si>
    <t>NACE_U97</t>
  </si>
  <si>
    <t>U - 97.0 Activities of households as employers of domestic personnel</t>
  </si>
  <si>
    <t>NACE_U970</t>
  </si>
  <si>
    <t>U - 97.00 Activities of households as employers of domestic personnel</t>
  </si>
  <si>
    <t>NACE_U9700</t>
  </si>
  <si>
    <t>U - 98 Undifferentiated goods- and service-producing activities of private households for own use</t>
  </si>
  <si>
    <t>NACE_U98</t>
  </si>
  <si>
    <t>U - 98.1 Undifferentiated goods-producing activities of private households for own use</t>
  </si>
  <si>
    <t>NACE_U981</t>
  </si>
  <si>
    <t>U - 98.10 Undifferentiated goods-producing activities of private households for own use</t>
  </si>
  <si>
    <t>NACE_U9810</t>
  </si>
  <si>
    <t>U - 98.2 Undifferentiated service-producing activities of private households for own use</t>
  </si>
  <si>
    <t>NACE_U982</t>
  </si>
  <si>
    <t>U - 98.20 Undifferentiated service-producing activities of private households for own use</t>
  </si>
  <si>
    <t>NACE_U9820</t>
  </si>
  <si>
    <t>V - ACTIVITIES OF EXTRATERRITORIAL ORGANISATIONS AND BODIES</t>
  </si>
  <si>
    <t>NACE_V</t>
  </si>
  <si>
    <t>V - 99 Activities of extraterritorial organisations and bodies</t>
  </si>
  <si>
    <t>NACE_V99</t>
  </si>
  <si>
    <t>V - 99.0 Activities of extraterritorial organisations and bodies</t>
  </si>
  <si>
    <t>NACE_V990</t>
  </si>
  <si>
    <t>V - 99.00 Activities of extraterritorial organisations and bodies</t>
  </si>
  <si>
    <t>NACE_V9900</t>
  </si>
  <si>
    <t>Practice</t>
  </si>
  <si>
    <t>Policy</t>
  </si>
  <si>
    <t>Workers in the value chain</t>
  </si>
  <si>
    <t>NACE_AllEconomicActivitiesNAMembeB1r</t>
  </si>
  <si>
    <t>sole proprietorship</t>
  </si>
  <si>
    <t>NACE Technical Name</t>
  </si>
  <si>
    <t>None</t>
  </si>
  <si>
    <t>Axis</t>
  </si>
  <si>
    <t>Xylenes</t>
  </si>
  <si>
    <t>Vinyl chloride</t>
  </si>
  <si>
    <t>Triphenyltin and compounds</t>
  </si>
  <si>
    <t>Trifluralin</t>
  </si>
  <si>
    <t>Trichloromethane</t>
  </si>
  <si>
    <t>Trichloroethylene</t>
  </si>
  <si>
    <t>Trichlorobenzenes (TCBs) (all isomers)</t>
  </si>
  <si>
    <t>Tributyltin and compounds</t>
  </si>
  <si>
    <t>Toxaphene</t>
  </si>
  <si>
    <t>Total phosphorus</t>
  </si>
  <si>
    <t>Total nitrogen</t>
  </si>
  <si>
    <t>Toluene</t>
  </si>
  <si>
    <t>Tetrachloromethane (TCM)</t>
  </si>
  <si>
    <t>Tetrachloroethylene (PER)</t>
  </si>
  <si>
    <t>Sulphur oxides (SOx/SO2)</t>
  </si>
  <si>
    <t>Sulphur hexafluoride (SF6)</t>
  </si>
  <si>
    <t>Simazine</t>
  </si>
  <si>
    <t>Polycyclic aromatic hydrocarbons (PAHs)</t>
  </si>
  <si>
    <t>Polychlorinated biphenyls (PCBs)</t>
  </si>
  <si>
    <t>Perfluorooctanoic acid (PFOA) and its salts</t>
  </si>
  <si>
    <t>Perfluorohexane-1-sulfonic acid (PFHxS) and its salts</t>
  </si>
  <si>
    <t>Perfluorocarbons (PFCs)</t>
  </si>
  <si>
    <t>Pentachlorophenol (PCP)</t>
  </si>
  <si>
    <t>Pentachlorobenzene</t>
  </si>
  <si>
    <t>Octylphenols and Octylphenol ethoxylates</t>
  </si>
  <si>
    <t>Nonylphenol and Nonylphenol ethoxylates (NP/NPEs)</t>
  </si>
  <si>
    <t>Non-methane volatile organic compounds (NMVOC)</t>
  </si>
  <si>
    <t>Nitrous oxide (N2O)</t>
  </si>
  <si>
    <t>Nitrogen oxides (NOx/NO2)</t>
  </si>
  <si>
    <t>Naphthalene</t>
  </si>
  <si>
    <t>Mirex</t>
  </si>
  <si>
    <t>Methane (CH4)</t>
  </si>
  <si>
    <t>Lindane</t>
  </si>
  <si>
    <t>Isoproturon</t>
  </si>
  <si>
    <t>Isodrin</t>
  </si>
  <si>
    <t>Hydrogen cyanide (HCN)</t>
  </si>
  <si>
    <t>Hydro-fluorocarbons (HFCs)</t>
  </si>
  <si>
    <t>Hydrochlorofluorocarbons (HCFCs)</t>
  </si>
  <si>
    <t>Hexachlorobutadiene (HCBD)</t>
  </si>
  <si>
    <t>Hexachlorobenzene (HCB)</t>
  </si>
  <si>
    <t>Hexabromobiphenyl</t>
  </si>
  <si>
    <t>Heptachlor</t>
  </si>
  <si>
    <t>Halons</t>
  </si>
  <si>
    <t>Fluoranthene</t>
  </si>
  <si>
    <t>Ethylene oxide</t>
  </si>
  <si>
    <t>Ethyl benzene</t>
  </si>
  <si>
    <t>Endrin</t>
  </si>
  <si>
    <t>Endosulphan</t>
  </si>
  <si>
    <t>Diuron</t>
  </si>
  <si>
    <t>Dieldrin</t>
  </si>
  <si>
    <t>Dicofol</t>
  </si>
  <si>
    <t>Dichloromethane (DCM)</t>
  </si>
  <si>
    <t>Di-(2-ethyl hexyl) phthalate (DEHP)</t>
  </si>
  <si>
    <t>DDT</t>
  </si>
  <si>
    <t>Chlorpyrifos</t>
  </si>
  <si>
    <t>Chlorofluorocarbons (CFCs)</t>
  </si>
  <si>
    <t>Chloro-alkanes, C10-C13</t>
  </si>
  <si>
    <t>Chlorfenvinphos</t>
  </si>
  <si>
    <t>Chlordecone</t>
  </si>
  <si>
    <t>Chlordane</t>
  </si>
  <si>
    <t>Carbon monoxide (CO)</t>
  </si>
  <si>
    <t>Carbon dioxide (CO2)</t>
  </si>
  <si>
    <t>Brominated diphenylethers (PBDE)</t>
  </si>
  <si>
    <t>Benzo(g,h,i)perylene</t>
  </si>
  <si>
    <t>Benzene</t>
  </si>
  <si>
    <t>Atrazine</t>
  </si>
  <si>
    <t>Asbestos</t>
  </si>
  <si>
    <t>Anthracene</t>
  </si>
  <si>
    <t>Ammonia (NH3)</t>
  </si>
  <si>
    <t>Aldrin</t>
  </si>
  <si>
    <t>Alachlor</t>
  </si>
  <si>
    <t>Location biodiversity areas</t>
  </si>
  <si>
    <t>Located in biodiversity sensitive areas</t>
  </si>
  <si>
    <t>Located near biodiversity sesnistive areas</t>
  </si>
  <si>
    <t>01 WASTES RESULTING FROM EXPLORATION, MINING, DRESSING AND FURTHER TREATMENT OF MINERALS AND QUARRY</t>
  </si>
  <si>
    <t>02 WASTES FROM AGRICULTURAL, HORTICULTURAL, HUNTING, FISHING AND AQUACULTURAL PRIMARY PRODUCTION, FOOD PREPARATION AND PROCESSING</t>
  </si>
  <si>
    <t>03 WASTES FROM WOOD PROCESSING AND THE PRODUCTION OF PAPER, CARDBOARD, PULP, PANELS AND FURNITURE</t>
  </si>
  <si>
    <t>04 WASTES FROM THE LEATHER, FUR AND TEXTILE INDUSTRIES</t>
  </si>
  <si>
    <t>05 WASTES FROM PETROLEUM REFINING, NATURAL GAS PURIFICATION AND PYROLYTIC TREATMENT OF COAL</t>
  </si>
  <si>
    <t>06 WASTES FROM INORGANIC CHEMICAL PROCESSES</t>
  </si>
  <si>
    <t>07 WASTES FROM ORGANIC CHEMICAL PROCESSES</t>
  </si>
  <si>
    <t>08 WASTES FROM THE MANUFACTURE, FORMULATION, SUPPLY AND USE (MFSU) OF COATINGS (PAINTS, VARNISHES AND VITREOUS ENAMELS), ADHESIVES, SEALANTS AND PRINTING INKS</t>
  </si>
  <si>
    <t>09 WASTES FROM THE PHOTOGRAPHIC INDUSTRY</t>
  </si>
  <si>
    <t>10 INORGANIC WASTES FROM THERMAL PROCESSES</t>
  </si>
  <si>
    <t>11 INORGANIC METAL-CONTAINING WASTES FROM METAL TREATMENT AND THE COATING OF METALS, AND NON-FERROUS HYDROMETALLURGY</t>
  </si>
  <si>
    <t>12 WASTES FROM SHAPING AND SURFACE TREATMENT OF METALS AND PLASTICS</t>
  </si>
  <si>
    <t>13 OIL WASTES (except edible oils, wastes from petroleum refining, natural gas purification and pyrolytic treatment of coal and wastes from shaping and surface treatment of metals and plastics)</t>
  </si>
  <si>
    <t>15 WASTE PACKAGING; ABSORBENTS, WIPING CLOTHS, FILTER MATERIALS AND PROTECTIVE CLOTHING NOT OTHERWISE SPECIFIED</t>
  </si>
  <si>
    <t>16 WASTES NOT OTHERWISE SPECIFIED IN THE LIST</t>
  </si>
  <si>
    <t>17 CONSTRUCTION AND DEMOLITION WASTES (INCLUDING ROAD CONSTRUCTION)</t>
  </si>
  <si>
    <t>18 WASTES FROM HUMAN OR ANIMAL HEALTH CARE AND/OR RELATED RESEARCH (except kitchen and restaurant wastes not arising from immediate health care)</t>
  </si>
  <si>
    <t>19 WASTES FROM WASTE TREATMENT FACILITIES, OFF-SITE WASTE WATER TREATMENT PLANTS AND THE WATER INDUSTRY</t>
  </si>
  <si>
    <t>20 MUNICIPAL WASTES AND SIMILAR COMMERCIAL, INDUSTRIAL AND INSTITUTIONAL WASTES INCLUDING SEPARATELY COLLECTED FRACTIONS</t>
  </si>
  <si>
    <t>private limited liability undertaking</t>
  </si>
  <si>
    <t>partnership</t>
  </si>
  <si>
    <t>cooperative</t>
  </si>
  <si>
    <t>other (please specify the legal form in the row below)</t>
  </si>
  <si>
    <t>Undertakings Legal Forms</t>
  </si>
  <si>
    <t>Unit of measurement</t>
  </si>
  <si>
    <t>kilograms (kg)</t>
  </si>
  <si>
    <t>NACE sector classification code(s)</t>
  </si>
  <si>
    <t>Name of the key material</t>
  </si>
  <si>
    <t>Type of waste</t>
  </si>
  <si>
    <t>metric tonnes (t)</t>
  </si>
  <si>
    <t>cubic meters (m³)</t>
  </si>
  <si>
    <t>Total annual mass-flow of relevant materials used (mass in kg)</t>
  </si>
  <si>
    <t xml:space="preserve">    0101 Wastes from mineral excavation</t>
  </si>
  <si>
    <t xml:space="preserve">    0102 Wastes from mineral dressing</t>
  </si>
  <si>
    <t xml:space="preserve">    0103 Wastes from further physical and chemical processing of metalliferous minerals</t>
  </si>
  <si>
    <t xml:space="preserve">    0104 Wastes from further physical and chemical processing on non-metalliferous minerals</t>
  </si>
  <si>
    <t xml:space="preserve">    0105 Drilling muds and other drilling wastes</t>
  </si>
  <si>
    <t xml:space="preserve">    0201 Primary production wastes</t>
  </si>
  <si>
    <t xml:space="preserve">    0202 Wastes from the preparation and processing of meat, fish and other foods of animal origin</t>
  </si>
  <si>
    <t xml:space="preserve">    0203 Wastes from fruit, vegetables, cereals, edible oils, cocoa, coffee and tobacco preparation and processing; tobacco processing; conserve production</t>
  </si>
  <si>
    <t xml:space="preserve">    0204 Wastes from sugar processing</t>
  </si>
  <si>
    <t xml:space="preserve">    0205 Wastes from the dairy products industry</t>
  </si>
  <si>
    <t xml:space="preserve">    0206 Wastes from the baking and confectionery industry</t>
  </si>
  <si>
    <t xml:space="preserve">    0207 Wastes from the production of alcoholic and non-alcoholic beverages (except coffee, tea and cocoa)</t>
  </si>
  <si>
    <t xml:space="preserve">    0301 Wastes from wood processing and the production of panels and furniture</t>
  </si>
  <si>
    <t xml:space="preserve">    0302 Wood preservation wastes</t>
  </si>
  <si>
    <t xml:space="preserve">    0303 Wastes from pulp, paper and cardboard production and processing</t>
  </si>
  <si>
    <t xml:space="preserve">    0401 Wastes from the leather and fur industry</t>
  </si>
  <si>
    <t xml:space="preserve">    0402 Wastes from the textile industry</t>
  </si>
  <si>
    <t xml:space="preserve">    0501 Oily sludges and solid wastes</t>
  </si>
  <si>
    <t xml:space="preserve">    0502 Non oily sludges and solid wastes</t>
  </si>
  <si>
    <t xml:space="preserve">    0504 Spent filter clays</t>
  </si>
  <si>
    <t xml:space="preserve">    0505 Oil desulphurisation wastes</t>
  </si>
  <si>
    <t xml:space="preserve">    0506 Wastes from the pyrolytic treatment of coal</t>
  </si>
  <si>
    <t xml:space="preserve">    0507 Wastes from natural gas purification</t>
  </si>
  <si>
    <t xml:space="preserve">    0508 Wastes from oil regeneration</t>
  </si>
  <si>
    <t xml:space="preserve">    0601 Waste acidic solutions</t>
  </si>
  <si>
    <t xml:space="preserve">    0602 Waste alkaline solutions</t>
  </si>
  <si>
    <t xml:space="preserve">    0603 Waste salts and their solutions</t>
  </si>
  <si>
    <t xml:space="preserve">    0604 Metal-containing wastes</t>
  </si>
  <si>
    <t xml:space="preserve">    0605 Sludges from on-site effluent treatment</t>
  </si>
  <si>
    <t xml:space="preserve">    0606 Wastes from sulphur chemical processes (production and transformation) and desulphurisation processes</t>
  </si>
  <si>
    <t xml:space="preserve">    0607 Wastes from halogen chemical processes</t>
  </si>
  <si>
    <t xml:space="preserve">    0608 Waste from production of silicon and silicon derivatives</t>
  </si>
  <si>
    <t xml:space="preserve">    0609 Wastes from phosphorus chemical processes</t>
  </si>
  <si>
    <t xml:space="preserve">    0610 Waste from nitrogen chemical processes and fertiliser manufacture</t>
  </si>
  <si>
    <t xml:space="preserve">    0611 Waste from the manufacture of inorganic pigments and opacificiers</t>
  </si>
  <si>
    <t xml:space="preserve">    0613 Wastes from other inorganic chemical processes</t>
  </si>
  <si>
    <t xml:space="preserve">    0701 Wastes from the manufacture, formulation, supply and use (MFSU) of basic organic chemicals</t>
  </si>
  <si>
    <t xml:space="preserve">    0702 Wastes from the MFSU of plastics, synthetic rubber and man-made fibres</t>
  </si>
  <si>
    <t xml:space="preserve">    0703 Wastes from the MFSU of organic dyes and pigments (except waste from the manufacture of inorganic pigments and opacificiers)</t>
  </si>
  <si>
    <t xml:space="preserve">    0704 Wastes from the MFSU of organic pesticides (except agrochemical wastes)</t>
  </si>
  <si>
    <t xml:space="preserve">    0705 Wastes from the MFSU of pharmaceuticals</t>
  </si>
  <si>
    <t xml:space="preserve">    0706 Wastes from the MFSU of fats, grease, soaps, detergents disinfectants and cosmetics</t>
  </si>
  <si>
    <t xml:space="preserve">    0707 Wastes from the MFSU of fine chemicals and chemical products not otherwise specified</t>
  </si>
  <si>
    <t xml:space="preserve">    0801 Wastes from MFSU and removal of paint and varnish</t>
  </si>
  <si>
    <t xml:space="preserve">    0802 Wastes from MFSU of other coatings (including ceramic materials)</t>
  </si>
  <si>
    <t xml:space="preserve">    0803 Wastes from MFSU of printing inks</t>
  </si>
  <si>
    <t xml:space="preserve">    0804 Wastes from MFSU of adhesives and sealants (including waterproofing products)</t>
  </si>
  <si>
    <t xml:space="preserve">    0805 Wastes not otherwise specified</t>
  </si>
  <si>
    <t xml:space="preserve">    0901 Wastes from the photographic industry</t>
  </si>
  <si>
    <t xml:space="preserve">    1001 Wastes from power stations and other combustion plants (except wastes from waste treatment facilities, off-site waste water treatment plants and the water industry)</t>
  </si>
  <si>
    <t xml:space="preserve">    1002 Wastes from the iron and steel industry</t>
  </si>
  <si>
    <t xml:space="preserve">    1003 Wastes from aluminium thermal metallurgy</t>
  </si>
  <si>
    <t xml:space="preserve">    1004 Wastes from lead thermal metallurgy</t>
  </si>
  <si>
    <t xml:space="preserve">    1005 Wastes from zinc thermal metallurgy</t>
  </si>
  <si>
    <t xml:space="preserve">    1006 Wastes from copper thermal metallurgy</t>
  </si>
  <si>
    <t xml:space="preserve">    1007 Wastes from silver, gold and platinum thermal metallurgy</t>
  </si>
  <si>
    <t xml:space="preserve">    1008 Wastes from other non-ferrous thermal metallurgy</t>
  </si>
  <si>
    <t xml:space="preserve">    1009 Wastes from casting of ferrous pieces</t>
  </si>
  <si>
    <t xml:space="preserve">    1010 Wastes from casting of non-ferrous pieces</t>
  </si>
  <si>
    <t xml:space="preserve">    1011 Wastes from manufacture of glass and glass products</t>
  </si>
  <si>
    <t xml:space="preserve">    1012 Wastes from manufacture of ceramic goods, bricks, tiles and construction products</t>
  </si>
  <si>
    <t xml:space="preserve">    1013 Wastes from manufacture of cement, lime and plaster and articles and products made from them</t>
  </si>
  <si>
    <t xml:space="preserve">    1101 Liquid wastes and sludges from metal treatment and coating of metals, (e.g. galvanic processes, zinc coating processes, pickling processes, etching, phosphatising, alkaline degreasing)</t>
  </si>
  <si>
    <t xml:space="preserve">    1102 Wastes and sludges from non-ferrous hydrometallurgical processes</t>
  </si>
  <si>
    <t xml:space="preserve">    1103 Sludges and solids from tempering processes</t>
  </si>
  <si>
    <t xml:space="preserve">    1104 Other inorganic metal-containing wastes not otherwise specified</t>
  </si>
  <si>
    <t xml:space="preserve">    1201 Wastes from shaping (including forgoing, welding, pressing, drawing, turning, cutting and filing)</t>
  </si>
  <si>
    <t xml:space="preserve">    1202 Wastes from mechanical surface treatment processes (blasting, grinding, honing, lapping, polishing)</t>
  </si>
  <si>
    <t xml:space="preserve">    1203 Wastes from water and steam degreasing processes (except inorganic metal-containing wastes from metal treatment and the coating of metals, and non-ferrous hydrometallurgy)</t>
  </si>
  <si>
    <t xml:space="preserve">    1301 Waste hydraulic oils and brake fluids</t>
  </si>
  <si>
    <t xml:space="preserve">    1302 Waste engine, gear and lubricating oils</t>
  </si>
  <si>
    <t xml:space="preserve">    1303 Waste insulating and heat transmission oils and other liquids</t>
  </si>
  <si>
    <t xml:space="preserve">    1304 Bilge oils</t>
  </si>
  <si>
    <t xml:space="preserve">    1305 Oil/water separator contents</t>
  </si>
  <si>
    <t xml:space="preserve">    1306 Oil waste not otherwise specified</t>
  </si>
  <si>
    <t xml:space="preserve">    1401 Wastes from metal degreasing and machinery maintenance</t>
  </si>
  <si>
    <t xml:space="preserve">    1402 Wastes from textile cleaning and degreasing of natural products</t>
  </si>
  <si>
    <t xml:space="preserve">    1403 Wastes from the electronic industry</t>
  </si>
  <si>
    <t xml:space="preserve">    1404 Wastes from coolants, foam/aerosol propellents</t>
  </si>
  <si>
    <t xml:space="preserve">    1405 Wastes from solvent and coolant recovery (still bottoms)</t>
  </si>
  <si>
    <t xml:space="preserve">    1501 Packaging</t>
  </si>
  <si>
    <t xml:space="preserve">    1502 Absorbents, filter materials, wiping cloths and protective clothing</t>
  </si>
  <si>
    <t xml:space="preserve">    1601 End-of-life vehicles and their components</t>
  </si>
  <si>
    <t xml:space="preserve">    1602 Discarded equipment and its components</t>
  </si>
  <si>
    <t xml:space="preserve">    1603 Off-specification batches</t>
  </si>
  <si>
    <t xml:space="preserve">    1604 Waste explosives</t>
  </si>
  <si>
    <t xml:space="preserve">    1605 Chemicals and gases in containers</t>
  </si>
  <si>
    <t xml:space="preserve">    1606 Batteries and accumulators</t>
  </si>
  <si>
    <t xml:space="preserve">    1607 Wastes from transport and storage tank cleaning (except wastes from petroleum refining, natural gas purification and pyrolytic treatment of coal and wastes from shaping and surface treatment of metals and plastics)</t>
  </si>
  <si>
    <t xml:space="preserve">    1608 Spent catalysts</t>
  </si>
  <si>
    <t xml:space="preserve">    1701 Concrete, bricks, tiles, ceramics, and gypsum-based materials</t>
  </si>
  <si>
    <t xml:space="preserve">    1702 Wood, glass and plastic</t>
  </si>
  <si>
    <t xml:space="preserve">    1703 Asphalt, tar and tarred products</t>
  </si>
  <si>
    <t xml:space="preserve">    1704 Metals (including their alloys)</t>
  </si>
  <si>
    <t xml:space="preserve">    1705 Soil and dredging spoil</t>
  </si>
  <si>
    <t xml:space="preserve">    1706 Insulation materials</t>
  </si>
  <si>
    <t xml:space="preserve">    1707 Mixed construction and demolition waste</t>
  </si>
  <si>
    <t xml:space="preserve">    1801 Wastes from natal care, diagnosis, treatment or prevention of disease in humans</t>
  </si>
  <si>
    <t xml:space="preserve">    1802 Wastes from research, diagnosis, treatment or prevention of disease involving animals</t>
  </si>
  <si>
    <t xml:space="preserve">    1901 Wastes from incineration or pyrolysis of waste</t>
  </si>
  <si>
    <t xml:space="preserve">    1902 Wastes from specific physico/chemical treatments of industrial waste, (e.g. dechromatation, decyanidation, neutralisation)</t>
  </si>
  <si>
    <t xml:space="preserve">    1903 Stabilised/solidified wastes</t>
  </si>
  <si>
    <t xml:space="preserve">    1904 Vitrified waste and wastes from vitrification</t>
  </si>
  <si>
    <t xml:space="preserve">    1905 Wastes from aerobic treatment of solid wastes</t>
  </si>
  <si>
    <t xml:space="preserve">    1906 Wastes from anaerobic treatment of waste</t>
  </si>
  <si>
    <t xml:space="preserve">    1907 Landfill leachate</t>
  </si>
  <si>
    <t xml:space="preserve">    1908 Wastes from waste water treatment plants not otherwise specified</t>
  </si>
  <si>
    <t xml:space="preserve">    1909 Wastes from the preparation of drinking water or water for industrial use</t>
  </si>
  <si>
    <t xml:space="preserve">    1910 Wastes from shredding of metal-containing waste</t>
  </si>
  <si>
    <t xml:space="preserve">    2001 Separately collected fractions</t>
  </si>
  <si>
    <t xml:space="preserve">    2002 Garden and park wastes (including cemetery waste)</t>
  </si>
  <si>
    <t xml:space="preserve">    2003 Other municipal wastes</t>
  </si>
  <si>
    <t>Total Energy Consumption</t>
  </si>
  <si>
    <t>Water</t>
  </si>
  <si>
    <t>Air</t>
  </si>
  <si>
    <t>Soil</t>
  </si>
  <si>
    <t>[+]</t>
  </si>
  <si>
    <t>Version:</t>
  </si>
  <si>
    <t>How to use it:</t>
  </si>
  <si>
    <t>Publication date:</t>
  </si>
  <si>
    <t>Basic Module</t>
  </si>
  <si>
    <t>Comprehensive Module</t>
  </si>
  <si>
    <t>Validation OK</t>
  </si>
  <si>
    <t>Cell background color index:</t>
  </si>
  <si>
    <t>B2</t>
  </si>
  <si>
    <t>Business conduct</t>
  </si>
  <si>
    <t>Sustainability ussues addressed</t>
  </si>
  <si>
    <t>Climate change</t>
  </si>
  <si>
    <t>Pollution</t>
  </si>
  <si>
    <t>Water and marine resources</t>
  </si>
  <si>
    <t>Biodiversity and ecosystems</t>
  </si>
  <si>
    <t>Circular economy</t>
  </si>
  <si>
    <t>Own workforce</t>
  </si>
  <si>
    <t>Affected communities</t>
  </si>
  <si>
    <t>Consumers and end-users</t>
  </si>
  <si>
    <t>Hectares or meters squared</t>
  </si>
  <si>
    <t>Link to previous report containing disclosures that remain unchanged</t>
  </si>
  <si>
    <t>Undertakings are excluded from the EU Paris-aligned Benchmarks if they  derive:</t>
  </si>
  <si>
    <t>Number of employees covered by collective bargaining agreements</t>
  </si>
  <si>
    <t>Number of female employees at management level</t>
  </si>
  <si>
    <t>14 WASTES FROM ORGANIC SUBSTANCES USED AS SOLVENTS (except WASTES FROM ORGANIC CHEMICAL PROCESSES and WASTES FROM THE MANUFACTURE, FORMULATION, SUPPLY AND USE (MFSU) OF COATINGS (PAINTS, VARNISHES AND VITREOUS ENAMELS), ADHESIVES, SEALANTS AND PRINTING INKS)</t>
  </si>
  <si>
    <t>YES or NO</t>
  </si>
  <si>
    <t>YES</t>
  </si>
  <si>
    <t>NO</t>
  </si>
  <si>
    <t>Future Initiative</t>
  </si>
  <si>
    <t>Indicates that the disclosure is from the VSME Comprehensive Module.</t>
  </si>
  <si>
    <t>Indicates that the disclosure is from the VSME Basic Module.</t>
  </si>
  <si>
    <t>General Principles</t>
  </si>
  <si>
    <t>Indicates that the disclosure is from the general principles of the VSME.</t>
  </si>
  <si>
    <t>Indicates that data entry is OK and the undertaking can proceed to the next disclosure.</t>
  </si>
  <si>
    <t>Year (date)</t>
  </si>
  <si>
    <t>Site located in a biodiversity sensitive area</t>
  </si>
  <si>
    <t>Site located near a biodiversity sensitive area</t>
  </si>
  <si>
    <t>Female-to-male ratio at management level for the reporting period</t>
  </si>
  <si>
    <t>Description of how it applies these principles</t>
  </si>
  <si>
    <t>Average number of annual training hours per employee</t>
  </si>
  <si>
    <t>GPS Coordinates (geolocation)</t>
  </si>
  <si>
    <t>Information on previous reporting period</t>
  </si>
  <si>
    <t>Reproduction and use rights are strictly limited. For further details please contact efragsecretariat@efrag.org</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</si>
  <si>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</si>
  <si>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None of the above</t>
  </si>
  <si>
    <t>FUEL CONVERTER</t>
  </si>
  <si>
    <t xml:space="preserve">What is your fuel? </t>
  </si>
  <si>
    <t>Energy [MWh]</t>
  </si>
  <si>
    <t>UNIT OF MEASUREMENT CONVERTER</t>
  </si>
  <si>
    <t>Unit of measurement of Mass Converter</t>
  </si>
  <si>
    <t>to</t>
  </si>
  <si>
    <t>Unit of measurement of Volume Converter</t>
  </si>
  <si>
    <t>Unit of measurement of Energy Consumption per Hour</t>
  </si>
  <si>
    <t>Unit of measurement of Density Converter</t>
  </si>
  <si>
    <t>Unit of measurement of NCV Converter</t>
  </si>
  <si>
    <t>Fuels</t>
  </si>
  <si>
    <t>Mass</t>
  </si>
  <si>
    <t>Volume</t>
  </si>
  <si>
    <t>Energy</t>
  </si>
  <si>
    <t>From → To</t>
  </si>
  <si>
    <t>g/L</t>
  </si>
  <si>
    <t>Kg/L</t>
  </si>
  <si>
    <t>t/L</t>
  </si>
  <si>
    <t>Gg/L</t>
  </si>
  <si>
    <t>g/m³</t>
  </si>
  <si>
    <t>Kg/m³</t>
  </si>
  <si>
    <t>t/m³</t>
  </si>
  <si>
    <t>Gg/m³</t>
  </si>
  <si>
    <t>J/g</t>
  </si>
  <si>
    <t>J/Kg</t>
  </si>
  <si>
    <t>J/t</t>
  </si>
  <si>
    <t>J/Gg</t>
  </si>
  <si>
    <t>TJ/g</t>
  </si>
  <si>
    <t>TJ/Kg</t>
  </si>
  <si>
    <t>TJ/t</t>
  </si>
  <si>
    <t>TJ/Gg</t>
  </si>
  <si>
    <t>MWh/g</t>
  </si>
  <si>
    <t>MWh/Kg</t>
  </si>
  <si>
    <t>MWh/t</t>
  </si>
  <si>
    <t>MWh/Gg</t>
  </si>
  <si>
    <t>Anthracite</t>
  </si>
  <si>
    <t>Solid</t>
  </si>
  <si>
    <t>Gg - Gigagram</t>
  </si>
  <si>
    <r>
      <t>m</t>
    </r>
    <r>
      <rPr>
        <sz val="11"/>
        <color theme="1"/>
        <rFont val="Aptos Narrow"/>
        <family val="2"/>
      </rPr>
      <t>³ - cubic meters</t>
    </r>
  </si>
  <si>
    <t>TJ - Terajoule</t>
  </si>
  <si>
    <t>Aviation gasoline</t>
  </si>
  <si>
    <t>Liquid</t>
  </si>
  <si>
    <t>t - tonne</t>
  </si>
  <si>
    <t>L - Liter</t>
  </si>
  <si>
    <t>MWh - Megawatt hours</t>
  </si>
  <si>
    <t>Biodiesel</t>
  </si>
  <si>
    <t>Kg - Kilogram</t>
  </si>
  <si>
    <t>Biogasoline</t>
  </si>
  <si>
    <t>g - gram</t>
  </si>
  <si>
    <t>Bitumen</t>
  </si>
  <si>
    <t>Blast furnace gas</t>
  </si>
  <si>
    <t>Brown coal briquettes</t>
  </si>
  <si>
    <t>Coke oven coke &amp; lignite coke</t>
  </si>
  <si>
    <t>Coke oven gas</t>
  </si>
  <si>
    <t>Coking coal</t>
  </si>
  <si>
    <t>Ethane</t>
  </si>
  <si>
    <t>Gas coke</t>
  </si>
  <si>
    <t>Gas/Diesel oil</t>
  </si>
  <si>
    <t>Jet gasoline</t>
  </si>
  <si>
    <t>Jet kerosene</t>
  </si>
  <si>
    <t>Landfill gas</t>
  </si>
  <si>
    <t>Lignite</t>
  </si>
  <si>
    <t>Liquefied Petroleum Gases (LPG)</t>
  </si>
  <si>
    <t>Lubricants</t>
  </si>
  <si>
    <t>Methane</t>
  </si>
  <si>
    <t>Motor gasoline/Petrol</t>
  </si>
  <si>
    <t>Municipal wastes (biomass fraction)</t>
  </si>
  <si>
    <t>Municipal wastes (non-biomass fraction)</t>
  </si>
  <si>
    <t>Naphtha</t>
  </si>
  <si>
    <t>Natural gas</t>
  </si>
  <si>
    <t>Oil shale and tar sands</t>
  </si>
  <si>
    <t>Orimulsion</t>
  </si>
  <si>
    <t>Oxygen steel furnace gas</t>
  </si>
  <si>
    <t>Paraffin waxes</t>
  </si>
  <si>
    <t>Patent fuel</t>
  </si>
  <si>
    <t>Peat</t>
  </si>
  <si>
    <t>Petroleum coke</t>
  </si>
  <si>
    <t>Propane</t>
  </si>
  <si>
    <t>Refinery feedstocks</t>
  </si>
  <si>
    <t>Refinery Gas</t>
  </si>
  <si>
    <t>Residual fuel oil</t>
  </si>
  <si>
    <t>Shale oil (liquid)</t>
  </si>
  <si>
    <t>Sludge gas</t>
  </si>
  <si>
    <t>Sub-bituminous coal</t>
  </si>
  <si>
    <t>Turpentine</t>
  </si>
  <si>
    <t>Vegetable oils</t>
  </si>
  <si>
    <t>Waste oils</t>
  </si>
  <si>
    <t>Waste water treatment biogas</t>
  </si>
  <si>
    <t>White Spirit &amp; SBP</t>
  </si>
  <si>
    <t>Wood/Wood waste</t>
  </si>
  <si>
    <t>Indicates that either data entry is incorrect in terms of format or that certain information is missing in order to correctly report on the disclosure.</t>
  </si>
  <si>
    <t>Lists can be expanded using the plus [+] button on the left. If the number of rows is not sufficient, additional rows can be added by right clicking the second row and selecting "Insert row".</t>
  </si>
  <si>
    <t>Does the undertaking have confirmed incidents in its own workforce?</t>
  </si>
  <si>
    <t>Registered Address</t>
  </si>
  <si>
    <t>State of matter</t>
  </si>
  <si>
    <t>KJ/g</t>
  </si>
  <si>
    <t>KJ/Kg</t>
  </si>
  <si>
    <t>KJ/t</t>
  </si>
  <si>
    <t>KJ/Gg</t>
  </si>
  <si>
    <t>Amount</t>
  </si>
  <si>
    <t>Year</t>
  </si>
  <si>
    <t>Month</t>
  </si>
  <si>
    <t>January</t>
  </si>
  <si>
    <t>February</t>
  </si>
  <si>
    <t>March</t>
  </si>
  <si>
    <t>April</t>
  </si>
  <si>
    <t>May</t>
  </si>
  <si>
    <t>June</t>
  </si>
  <si>
    <t>July</t>
  </si>
  <si>
    <t>August</t>
  </si>
  <si>
    <t>September</t>
  </si>
  <si>
    <t>October</t>
  </si>
  <si>
    <t>November</t>
  </si>
  <si>
    <t>December</t>
  </si>
  <si>
    <t>Revenue derived from chemicals production</t>
  </si>
  <si>
    <t>Revenue derived from gas</t>
  </si>
  <si>
    <t>Revenue derived from oil</t>
  </si>
  <si>
    <t>Revenue derived from coal</t>
  </si>
  <si>
    <t>Revenue derived from cultivation and production of tobacco</t>
  </si>
  <si>
    <t>A transition plan has already been adopted</t>
  </si>
  <si>
    <t>Implementation status</t>
  </si>
  <si>
    <t>Basis for preparation (Basic Module Only or Basic &amp; Comprehensive Module)</t>
  </si>
  <si>
    <t>List of omitted disclosures (with None)</t>
  </si>
  <si>
    <t xml:space="preserve">List of omitted disclosures </t>
  </si>
  <si>
    <t>Other undertaking's legal form specification</t>
  </si>
  <si>
    <t>Renewable</t>
  </si>
  <si>
    <t>Non-renewable</t>
  </si>
  <si>
    <t>Total renewable and non-renewable</t>
  </si>
  <si>
    <t>Employees receive pay that is equal or above applicable minimum wage determined directly by the national minimum wage law or through a collective bargaining agreement</t>
  </si>
  <si>
    <t>Total self-employed workers without personnel that are working exclusively for the undertaking</t>
  </si>
  <si>
    <t>Starting year</t>
  </si>
  <si>
    <t>Starting month</t>
  </si>
  <si>
    <t>Starting day</t>
  </si>
  <si>
    <t>Ending year</t>
  </si>
  <si>
    <t>Ending month</t>
  </si>
  <si>
    <t>Ending day</t>
  </si>
  <si>
    <t>Reporting period string:</t>
  </si>
  <si>
    <t xml:space="preserve">Ending date string: </t>
  </si>
  <si>
    <t>No value can be entered in the cell.</t>
  </si>
  <si>
    <t>Month number</t>
  </si>
  <si>
    <t>Area (hectares or m² based on the selection above)</t>
  </si>
  <si>
    <t>Indicates that no data entry is required unless certain logics are selected in the disclosure itself. When one of these logics is selected, then this cell will turn white.</t>
  </si>
  <si>
    <t>Please select the unit used for the area (i.e. either hectares or m²):</t>
  </si>
  <si>
    <t>Particulate matter (PM)</t>
  </si>
  <si>
    <t>Please select the unit used for reporting the amount (i.e. either kg or tonne)</t>
  </si>
  <si>
    <t>Unit of measurement (mass only)</t>
  </si>
  <si>
    <t>Waste directed to disposal</t>
  </si>
  <si>
    <t>Is this disclosure already publicly available?</t>
  </si>
  <si>
    <t>Typical NCV [TJ/Gg]</t>
  </si>
  <si>
    <r>
      <t>Typical Density [kg/L</t>
    </r>
    <r>
      <rPr>
        <b/>
        <sz val="11"/>
        <color theme="1"/>
        <rFont val="Aptos Narrow"/>
        <family val="2"/>
      </rPr>
      <t>]</t>
    </r>
  </si>
  <si>
    <r>
      <t>Typical Density [kg/m</t>
    </r>
    <r>
      <rPr>
        <b/>
        <sz val="11"/>
        <color theme="1"/>
        <rFont val="Aptos Narrow"/>
        <family val="2"/>
      </rPr>
      <t>³]</t>
    </r>
  </si>
  <si>
    <t>Other 1</t>
  </si>
  <si>
    <t>Other 2</t>
  </si>
  <si>
    <t>Other 3</t>
  </si>
  <si>
    <t>Other 4</t>
  </si>
  <si>
    <t>Other 5</t>
  </si>
  <si>
    <t>Other 6</t>
  </si>
  <si>
    <t>Other 7</t>
  </si>
  <si>
    <t>Other 8</t>
  </si>
  <si>
    <t>Other 9</t>
  </si>
  <si>
    <t>Other 10</t>
  </si>
  <si>
    <t>Has the undertaking obtained the necessary information to provide an energy consumption breakdown?</t>
  </si>
  <si>
    <t>Has the strategy key elements that relate to or affect sustainability issues?</t>
  </si>
  <si>
    <t>Does the undertaking have sites that are located in or near biodiversity sensitive areas?</t>
  </si>
  <si>
    <t>Has the undertaking incurred in convictions and fines in the reporting period?</t>
  </si>
  <si>
    <t>Is the undertaking deriving revenues from one of the activities listed below?</t>
  </si>
  <si>
    <t>Does the undertaking have a governance body in place?</t>
  </si>
  <si>
    <t>Has the undertaking obtained any sustainability-related certification(s) or label(s) ?</t>
  </si>
  <si>
    <t>Basis for reporting (consolidated or individual basis)</t>
  </si>
  <si>
    <t>Percentage of employees covered by collective bargaining agreements [%]</t>
  </si>
  <si>
    <t>6. The undertaking may also upload the report to public repositories or a webpage.</t>
  </si>
  <si>
    <t>Waste categories (for validation only)</t>
  </si>
  <si>
    <t>Employee counting methodology (At the end of reporting period or as an average during the reporting period)</t>
  </si>
  <si>
    <t>Employee counting methodology (Headcount or Full-time equivalent)</t>
  </si>
  <si>
    <t>Employee methodologies</t>
  </si>
  <si>
    <t>At the end of the reporting period</t>
  </si>
  <si>
    <t>As an average across the reporting period</t>
  </si>
  <si>
    <t>Specify other types of content covered by the code of conduct or human rights policy</t>
  </si>
  <si>
    <t>Number of employees who left during the reporting period</t>
  </si>
  <si>
    <t>Number of employees at the beginning of the reporting period</t>
  </si>
  <si>
    <t>Number of employees at the end of the reporting period</t>
  </si>
  <si>
    <t>Number of recordable work-related accidents in the reporting period</t>
  </si>
  <si>
    <t>Number of hours worked by  one full-time employee in the reporting period</t>
  </si>
  <si>
    <t>Total number of hours worked in a year by all employees in the reporting period</t>
  </si>
  <si>
    <t>Total number of convictions  for the violation of anti-corruption and anti-bribery laws</t>
  </si>
  <si>
    <t>NACE A - AGRICULTURE, FORESTRY AND FISHING</t>
  </si>
  <si>
    <t>NACE A - 01 Crop and animal production, hunting and related service activities</t>
  </si>
  <si>
    <t>NACE A - 01.1 Growing of non-perennial crops</t>
  </si>
  <si>
    <t>NACE A - 01.2 Growing of perennial crops</t>
  </si>
  <si>
    <t>NACE A - 01.3 Plant propagation</t>
  </si>
  <si>
    <t>NACE A - 01.4 Animal production</t>
  </si>
  <si>
    <t>NACE A - 01.5 Mixed farming</t>
  </si>
  <si>
    <t>NACE A - 01.6 Support activities to agriculture and post-harvest crop activities</t>
  </si>
  <si>
    <t>NACE A - 01.7 Hunting, trapping and related service activities</t>
  </si>
  <si>
    <t>NACE A - 02 Forestry and logging</t>
  </si>
  <si>
    <t>NACE A - 02.1 Silviculture and other forestry activities</t>
  </si>
  <si>
    <t>NACE A - 02.2 Logging</t>
  </si>
  <si>
    <t>NACE A - 02.3 Gathering of wild growing non-wood products</t>
  </si>
  <si>
    <t>NACE A - 02.4 Support services to forestry</t>
  </si>
  <si>
    <t>NACE A - 03 Fishing and aquaculture</t>
  </si>
  <si>
    <t>NACE A - 03.1 Fishing</t>
  </si>
  <si>
    <t>NACE A - 03.2 Aquaculture</t>
  </si>
  <si>
    <t>NACE A - 03.3 Support activities for fishing and aquaculture</t>
  </si>
  <si>
    <t>NACE B - MINING AND QUARRYING</t>
  </si>
  <si>
    <t>NACE B - 04 Mining of coal and lignite</t>
  </si>
  <si>
    <t>NACE B - 05.1 Mining of hard coal</t>
  </si>
  <si>
    <t>NACE B - 05.2 Mining of lignite</t>
  </si>
  <si>
    <t>NACE B - 05 Extraction of crude petroleum and natural gas</t>
  </si>
  <si>
    <t>NACE B - 06.1 Extraction of crude petroleum</t>
  </si>
  <si>
    <t>NACE B - 06.2 Extraction of natural gas</t>
  </si>
  <si>
    <t>NACE B - 06 Mining of metal ores</t>
  </si>
  <si>
    <t>NACE B - 07.1 Mining of iron ores</t>
  </si>
  <si>
    <t>NACE B - 07.2 Mining of non-ferrous metal ores</t>
  </si>
  <si>
    <t>NACE B - 07 Other mining and quarrying</t>
  </si>
  <si>
    <t>NACE B - 08.1 Quarrying of stone, sand and clay</t>
  </si>
  <si>
    <t>NACE B - 08.9 Mining and quarrying n.e.c.</t>
  </si>
  <si>
    <t>NACE B - 08 Mining support service activities</t>
  </si>
  <si>
    <t>NACE B - 09.1 Support activities for petroleum and natural gas extraction</t>
  </si>
  <si>
    <t>NACE B - 09.9 Support activities for other mining and quarrying</t>
  </si>
  <si>
    <t>NACE C - MANUFACTURING</t>
  </si>
  <si>
    <t>NACE C - 10 Manufacture of food products</t>
  </si>
  <si>
    <t>NACE C - 10.1 Processing and preserving of meat and production of meat products</t>
  </si>
  <si>
    <t>NACE C - 10.2 Processing and preserving of fish, crustaceans and molluscs</t>
  </si>
  <si>
    <t>NACE C - 10.3 Processing and preserving of fruit and vegetables</t>
  </si>
  <si>
    <t>NACE C - 10.4 Manufacture of vegetable and animal oils and fats</t>
  </si>
  <si>
    <t>NACE C - 10.5 Manufacture of dairy products and edible ice</t>
  </si>
  <si>
    <t>NACE C - 10.6 Manufacture of grain mill products, starches and starch products</t>
  </si>
  <si>
    <t>NACE C - 10.7 Manufacture of bakery and farinaceous products</t>
  </si>
  <si>
    <t>NACE C - 10.8 Manufacture of other food products</t>
  </si>
  <si>
    <t>NACE C - 10.9 Manufacture of prepared animal feeds</t>
  </si>
  <si>
    <t>NACE C - 11 Manufacture of beverages</t>
  </si>
  <si>
    <t>NACE C - 11.0 Manufacture of beverages</t>
  </si>
  <si>
    <t>NACE C - 12 Manufacture of tobacco products</t>
  </si>
  <si>
    <t>NACE C - 12.0 Manufacture of tobacco products</t>
  </si>
  <si>
    <t>NACE C - 13 Manufacture of textiles</t>
  </si>
  <si>
    <t>NACE C - 13.1 Preparation and spinning of textile fibres</t>
  </si>
  <si>
    <t>NACE C - 13.2 Weaving of textiles</t>
  </si>
  <si>
    <t>NACE C - 13.3 Finishing of textiles</t>
  </si>
  <si>
    <t>NACE C - 13.9 Manufacture of other textiles</t>
  </si>
  <si>
    <t>NACE C - 14 Manufacture of wearing apparel</t>
  </si>
  <si>
    <t>NACE C - 14.1 Manufacture of knitted and crocheted apparel</t>
  </si>
  <si>
    <t>NACE C - 14.2 Manufacture of other wearing apparel and accessories</t>
  </si>
  <si>
    <t>NACE C - 15 Manufacture of leather and related products of other materials</t>
  </si>
  <si>
    <t>NACE C - 15.1 Tanning, dyeing, dressing of leather and fur; manufacture of luggage, handbags, saddlery and harness</t>
  </si>
  <si>
    <t>NACE C - 15.2 Manufacture of footwear</t>
  </si>
  <si>
    <t>NACE C - 15.20 Manufacture of footwear</t>
  </si>
  <si>
    <t>NACE C - 16 Manufacture of wood and of products of wood and cork, except furniture; manufacture of articles of straw and plaiting materials</t>
  </si>
  <si>
    <t>NACE C - 16.1 Sawmilling and planing of wood; processing and finishing of wood</t>
  </si>
  <si>
    <t>NACE C - 16.2 Manufacture of products of wood, cork, straw and plaiting materials</t>
  </si>
  <si>
    <t>NACE C - 17 Manufacture of paper and paper products</t>
  </si>
  <si>
    <t>NACE C - 17.1 Manufacture of pulp, paper and paperboard</t>
  </si>
  <si>
    <t>NACE C - 17.2 Manufacture of articles of paper and paperboard</t>
  </si>
  <si>
    <t>NACE C - 18 Printing and reproduction of recorded media</t>
  </si>
  <si>
    <t>NACE C - 18.1 Printing and service activities related to printing</t>
  </si>
  <si>
    <t>NACE C - 18.2 Reproduction of recorded media</t>
  </si>
  <si>
    <t>NACE C - 19 Manufacture of coke and refined petroleum products</t>
  </si>
  <si>
    <t>NACE C - 19.1 Manufacture of coke oven products</t>
  </si>
  <si>
    <t>NACE C - 19.2 Manufacture of refined petroleum products and fossil fuel products</t>
  </si>
  <si>
    <t>NACE C - 20 Manufacture of chemicals and chemical products</t>
  </si>
  <si>
    <t>NACE C - 20.1 Manufacture of basic chemicals, fertilisers and nitrogen compounds, plastics and synthetic rubber in primary forms</t>
  </si>
  <si>
    <t>NACE C - 20.2 Manufacture of pesticides, disinfectants and other agrochemical products</t>
  </si>
  <si>
    <t>NACE C - 20.3 Manufacture of paints, varnishes and similar coatings, printing ink and mastics</t>
  </si>
  <si>
    <t>NACE C - 20.4 Manufacture of washing, cleaning and polishing preparations</t>
  </si>
  <si>
    <t>NACE C - 20.5 Manufacture of other chemical products</t>
  </si>
  <si>
    <t>NACE C - 20.6 Manufacture of man-made fibres</t>
  </si>
  <si>
    <t>NACE C - 21 Manufacture of basic pharmaceutical products and pharmaceutical preparations</t>
  </si>
  <si>
    <t>NACE C - 21.1 Manufacture of basic pharmaceutical products</t>
  </si>
  <si>
    <t>NACE C - 21.2 Manufacture of pharmaceutical preparations</t>
  </si>
  <si>
    <t>NACE C - 22 Manufacture of rubber and plastic products</t>
  </si>
  <si>
    <t>NACE C - 22.1 Manufacture of rubber products</t>
  </si>
  <si>
    <t>NACE C - 22.2 Manufacture of plastic products</t>
  </si>
  <si>
    <t>NACE C - 23 Manufacture of other non-metallic mineral products</t>
  </si>
  <si>
    <t>NACE C - 23.1 Manufacture of glass and glass products</t>
  </si>
  <si>
    <t>NACE C - 23.2 Manufacture of refractory products</t>
  </si>
  <si>
    <t>NACE C - 23.3 Manufacture of clay building materials</t>
  </si>
  <si>
    <t>NACE C - 23.4 Manufacture of other porcelain and ceramic products</t>
  </si>
  <si>
    <t>NACE C - 23.5 Manufacture of cement, lime and plaster</t>
  </si>
  <si>
    <t>NACE C - 23.6 Manufacture of articles of concrete, cement and plaster</t>
  </si>
  <si>
    <t>NACE C - 23.7 Cutting, shaping and finishing of stone</t>
  </si>
  <si>
    <t>NACE C - 23.9 Manufacture of abrasive products and non-metallic mineral products n.e.c.</t>
  </si>
  <si>
    <t>NACE C - 24 Manufacture of basic metals</t>
  </si>
  <si>
    <t>NACE C - 24.1 Manufacture of basic iron and steel and of ferro-alloys</t>
  </si>
  <si>
    <t>NACE C - 24.2 Manufacture of tubes, pipes, hollow profiles and related fittings, of steel</t>
  </si>
  <si>
    <t>NACE C - 24.3 Manufacture of other products of first processing of steel</t>
  </si>
  <si>
    <t>NACE C - 24.4 Manufacture of basic precious and other non-ferrous metals</t>
  </si>
  <si>
    <t>NACE C - 24.5 Casting of metals</t>
  </si>
  <si>
    <t>NACE C - 25 Manufacture of fabricated metal products, except machinery and equipment</t>
  </si>
  <si>
    <t>NACE C - 25.1 Manufacture of structural metal products</t>
  </si>
  <si>
    <t>NACE C - 25.2 Manufacture of tanks, reservoirs and containers of metal</t>
  </si>
  <si>
    <t>NACE C - 25.3 Manufacture of weapons and ammunition</t>
  </si>
  <si>
    <t>NACE C - 25.4 Forging and shaping metal and powder metallurgy</t>
  </si>
  <si>
    <t>NACE C - 25.5 Treatment and coating of metals; machining</t>
  </si>
  <si>
    <t>NACE C - 25.6 Manufacture of cutlery, tools and general hardware</t>
  </si>
  <si>
    <t>NACE C - 25.9 Manufacture of other fabricated metal products</t>
  </si>
  <si>
    <t>NACE C - 26 Manufacture of computer, electronic and optical products</t>
  </si>
  <si>
    <t>NACE C - 26.1 Manufacture of electronic components and boards</t>
  </si>
  <si>
    <t>NACE C - 26.2 Manufacture of computers and peripheral equipment</t>
  </si>
  <si>
    <t>NACE C - 26.3 Manufacture of communication equipment</t>
  </si>
  <si>
    <t>NACE C - 26.4 Manufacture of consumer electronics</t>
  </si>
  <si>
    <t>NACE C - 26.5 Manufacture of measuring testing instruments, clocks and watches</t>
  </si>
  <si>
    <t>NACE C - 26.6 Manufacture of irradiation, electromedical and electrotherapeutic equipment</t>
  </si>
  <si>
    <t>NACE C - 26.7 Manufacture of optical instruments, magnetic and optical media and photographic equipment</t>
  </si>
  <si>
    <t>NACE C - 27 Manufacture of electrical equipment</t>
  </si>
  <si>
    <t>NACE C - 27.1 Manufacture of electric motors, generators, transformers and electricity distribution and control apparatus</t>
  </si>
  <si>
    <t>NACE C - 27.2 Manufacture of batteries and accumulators</t>
  </si>
  <si>
    <t>NACE C - 27.3 Manufacture of wiring and wiring devices</t>
  </si>
  <si>
    <t>NACE C - 27.4 Manufacture of lighting equipment</t>
  </si>
  <si>
    <t>NACE C - 27.5 Manufacture of domestic appliances</t>
  </si>
  <si>
    <t>NACE C - 27.9 Manufacture of other electrical equipment</t>
  </si>
  <si>
    <t>NACE C - 28 Manufacture of machinery and equipment n.e.c.</t>
  </si>
  <si>
    <t>NACE C - 28.1 Manufacture of general-purpose machinery</t>
  </si>
  <si>
    <t>NACE C - 28.2 Manufacture of other general-purpose machinery</t>
  </si>
  <si>
    <t>NACE C - 28.3 Manufacture of agricultural and forestry machinery</t>
  </si>
  <si>
    <t>NACE C - 28.4 Manufacture of metal forming machinery and machine tools</t>
  </si>
  <si>
    <t>NACE C - 28.9 Manufacture of other special-purpose machinery</t>
  </si>
  <si>
    <t>NACE C - 29 Manufacture of motor vehicles, trailers and semi-trailers</t>
  </si>
  <si>
    <t>NACE C - 29.1 Manufacture of motor vehicles</t>
  </si>
  <si>
    <t>NACE C - 29.2 Manufacture of bodies and coachwork for motor vehicles; manufacture of trailers and semi-trailers</t>
  </si>
  <si>
    <t>NACE C - 29.3 Manufacture of motor vehicle parts and accessories</t>
  </si>
  <si>
    <t>NACE C - 30 Manufacture of other transport equipment</t>
  </si>
  <si>
    <t>NACE C - 30.1 Building of ships and boats</t>
  </si>
  <si>
    <t>NACE C - 30.2 Manufacture of railway locomotives and rolling stock</t>
  </si>
  <si>
    <t>NACE C - 30.3 Manufacture of air and spacecraft and related machinery</t>
  </si>
  <si>
    <t>NACE C - 30.4 Manufacture of military fighting vehicles</t>
  </si>
  <si>
    <t>NACE C - 30.9 Manufacture of transport equipment n.e.c.</t>
  </si>
  <si>
    <t>NACE C - 31 Manufacture of furniture</t>
  </si>
  <si>
    <t>NACE C - 31.0 Manufacture of furniture</t>
  </si>
  <si>
    <t>NACE C - 32 Other manufacturing</t>
  </si>
  <si>
    <t>NACE C - 32.1 Manufacture of jewellery, bijouterie and related articles</t>
  </si>
  <si>
    <t>NACE C - 32.2 Manufacture of musical instruments</t>
  </si>
  <si>
    <t>NACE C - 32.3 Manufacture of sports goods</t>
  </si>
  <si>
    <t>NACE C - 32.4 Manufacture of games and toys</t>
  </si>
  <si>
    <t>NACE C - 32.5 Manufacture of medical and dental instruments and supplies</t>
  </si>
  <si>
    <t>NACE C - 32.9 Manufacturing n.e.c.</t>
  </si>
  <si>
    <t>NACE C - 33 Repair, maintenance and installation of machinery and equipment</t>
  </si>
  <si>
    <t>NACE C - 33.1 Repair and maintenance of fabricated metal products, machinery and equipment</t>
  </si>
  <si>
    <t>NACE C - 33.2 Installation of industrial machinery and equipment</t>
  </si>
  <si>
    <t>NACE D - ELECTRICITY, GAS, STEAM AND AIR CONDITIONING SUPPLY</t>
  </si>
  <si>
    <t>NACE D - 35 Electricity, gas, steam and air conditioning supply</t>
  </si>
  <si>
    <t>NACE D - 35.1 Electric power generation, transmission and distribution</t>
  </si>
  <si>
    <t>NACE D - 35.2 Manufacture of gas, and distribution of gaseous fuels through mains</t>
  </si>
  <si>
    <t>NACE D - 35.3 Steam and air conditioning supply</t>
  </si>
  <si>
    <t>NACE D - 35.4 Activities of brokers and agents for electric power and natural gas</t>
  </si>
  <si>
    <t>NACE E - WATER SUPPLY; SEWERAGE, WASTE MANAGEMENT AND REMEDIATION ACTIVITIES</t>
  </si>
  <si>
    <t>NACE E - 36 Water collection, treatment and supply</t>
  </si>
  <si>
    <t>NACE E - 36.0 Water collection, treatment and supply</t>
  </si>
  <si>
    <t>NACE E - 37 Sewerage</t>
  </si>
  <si>
    <t>NACE E - 37.0 Sewerage</t>
  </si>
  <si>
    <t>NACE E - 38 Waste collection, recovery and disposal activities</t>
  </si>
  <si>
    <t>NACE E - 38.1 Waste collection</t>
  </si>
  <si>
    <t>NACE E - 38.2 Waste recovery</t>
  </si>
  <si>
    <t>NACE E - 38.3 Waste disposal without recovery</t>
  </si>
  <si>
    <t>NACE E - 39 Remediation activities and other waste management service activities</t>
  </si>
  <si>
    <t>NACE E - 39.0 Remediation activities and other waste management service activities</t>
  </si>
  <si>
    <t>NACE F - CONSTRUCTION</t>
  </si>
  <si>
    <t>NACE F - 41 Construction of residential and non-residential buildings</t>
  </si>
  <si>
    <t>NACE F - 41.0 Construction of residential and non-residential buildings</t>
  </si>
  <si>
    <t>NACE F - 42 Civil engineering</t>
  </si>
  <si>
    <t>NACE F - 42.1 Construction of roads and railways</t>
  </si>
  <si>
    <t>NACE F - 42.2 Construction of utility projects</t>
  </si>
  <si>
    <t>NACE F - 42.9 Construction of other civil engineering projects</t>
  </si>
  <si>
    <t>NACE F - 43 Specialised construction activities</t>
  </si>
  <si>
    <t>NACE F - 43.1 Demolition and site preparation</t>
  </si>
  <si>
    <t>NACE F - 43.2 Electrical, plumbing and other construction installation activities</t>
  </si>
  <si>
    <t>NACE F - 43.3 Building completion and finishing</t>
  </si>
  <si>
    <t>NACE F - 43.4 Specialised construction activities in construction of buildings</t>
  </si>
  <si>
    <t>NACE F - 43.5 Specialised construction activities in civil engineering</t>
  </si>
  <si>
    <t>NACE F - 43.6 Intermediation service activities for specialised construction services</t>
  </si>
  <si>
    <t>NACE F - 43.9 Other specialised construction activities</t>
  </si>
  <si>
    <t>NACE G - WHOLESALE AND RETAIL TRADE</t>
  </si>
  <si>
    <t>NACE G - 46 Wholesale trade</t>
  </si>
  <si>
    <t>NACE G - 46.1 Wholesale on a fee or contract basis</t>
  </si>
  <si>
    <t>NACE G - 46.2 Wholesale of agricultural raw materials and live animals</t>
  </si>
  <si>
    <t>NACE G - 46.3 Wholesale of food, beverages and tobacco</t>
  </si>
  <si>
    <t>NACE G - 46.4 Wholesale of household goods</t>
  </si>
  <si>
    <t>NACE G - 46.5 Wholesale of information and communication equipment</t>
  </si>
  <si>
    <t>NACE G - 46.6 Wholesale of other machinery, equipment and supplies</t>
  </si>
  <si>
    <t>NACE G - 46.7 Wholesale of motor vehicles, motorcycles and related parts and accessories</t>
  </si>
  <si>
    <t>NACE G - 46.8 Other specialised wholesale</t>
  </si>
  <si>
    <t>NACE G - 46.9 Non-specialised wholesale trade</t>
  </si>
  <si>
    <t>NACE G - 47 Retail trade</t>
  </si>
  <si>
    <t>NACE G - 47.1 Non-specialised retail sale</t>
  </si>
  <si>
    <t>NACE G - 47.2 Retail sale of food, beverages and tobacco</t>
  </si>
  <si>
    <t>NACE G - 47.3 Retail sale of automotive fuel</t>
  </si>
  <si>
    <t>NACE G - 47.4 Retail sale of information and communication equipment</t>
  </si>
  <si>
    <t>NACE G - 47.5 Retail sale of other household equipment</t>
  </si>
  <si>
    <t>NACE G - 47.6 Retail sale of cultural and recreation goods</t>
  </si>
  <si>
    <t>NACE G - 47.7 Retail sale of other goods, except motor vehicles and motorcycles</t>
  </si>
  <si>
    <t>NACE G - 47.8 Retail sale of motor vehicles, motorcycles and related parts and accessories</t>
  </si>
  <si>
    <t>NACE G - 47.9 Intermediation service activities for retail sale</t>
  </si>
  <si>
    <t>NACE H - TRANSPORTATION AND STORAGE</t>
  </si>
  <si>
    <t>NACE H - 49 Land transport and transport via pipelines</t>
  </si>
  <si>
    <t>NACE H - 49.1 Passenger rail transport</t>
  </si>
  <si>
    <t>NACE H - 49.2 Freight rail transport</t>
  </si>
  <si>
    <t>NACE H - 49.3 Other passenger land transport</t>
  </si>
  <si>
    <t>NACE H - 49.4 Freight transport by road and removal services</t>
  </si>
  <si>
    <t>NACE H - 49.5 Transport via pipeline</t>
  </si>
  <si>
    <t>NACE H - 50 Water transport</t>
  </si>
  <si>
    <t>NACE H - 50.1 Sea and coastal passenger water transport</t>
  </si>
  <si>
    <t>NACE H - 50.2 Sea and coastal freight water transport</t>
  </si>
  <si>
    <t>NACE H - 50.3 Inland passenger water transport</t>
  </si>
  <si>
    <t>NACE H - 50.4 Inland freight water transport</t>
  </si>
  <si>
    <t>NACE H - 51 Air transport</t>
  </si>
  <si>
    <t>NACE H - 51.1 Passenger air transport</t>
  </si>
  <si>
    <t>NACE H - 51.2 Freight air transport and space transport</t>
  </si>
  <si>
    <t>NACE H - 52 Warehousing, storage and support activities for transportation</t>
  </si>
  <si>
    <t>NACE H - 52.1 Warehousing and storage</t>
  </si>
  <si>
    <t>NACE H - 52.2 Support activities for transportation</t>
  </si>
  <si>
    <t>NACE H - 52.3 Intermediation service activities for transportation</t>
  </si>
  <si>
    <t>NACE H - 53 Postal and courier activities</t>
  </si>
  <si>
    <t>NACE H - 53.1 Postal activities under universal service obligation</t>
  </si>
  <si>
    <t>NACE H - 53.2 Other postal and courier activities</t>
  </si>
  <si>
    <t>NACE H - 53.3 Intermediation service activities for postal and courier activities</t>
  </si>
  <si>
    <t>NACE I - ACCOMMODATION AND FOOD SERVICE ACTIVITIES</t>
  </si>
  <si>
    <t>NACE I - 55 Accommodation</t>
  </si>
  <si>
    <t>NACE I - 55.1 Hotels and similar accommodation</t>
  </si>
  <si>
    <t>NACE I - 55.2 Holiday and other short-stay accommodation</t>
  </si>
  <si>
    <t>NACE I - 55.3 Camping grounds and recreational vehicle parks</t>
  </si>
  <si>
    <t>NACE I - 55.4 Intermediation service activities for accommodation</t>
  </si>
  <si>
    <t>NACE I - 55.9 Other accommodation</t>
  </si>
  <si>
    <t>NACE I - 56 Food and beverage service activities</t>
  </si>
  <si>
    <t>NACE I - 56.1 Restaurants and mobile food service activities</t>
  </si>
  <si>
    <t>NACE I - 56.2 Event catering, contract catering service activities and other food service activities</t>
  </si>
  <si>
    <t>NACE I - 56.21 Event catering activities</t>
  </si>
  <si>
    <t>NACE I - 56.3 Beverage serving activities</t>
  </si>
  <si>
    <t>NACE I - 56.4 Intermediation service activities for food and beverage services activities</t>
  </si>
  <si>
    <t>NACE J - PUBLISHING, BROADCASTING, AND CONTENT PRODUCTION AND DISTRIBUTION ACTIVITIES</t>
  </si>
  <si>
    <t>NACE J - 58 Publishing activities</t>
  </si>
  <si>
    <t>NACE J - 58.1 Publishing of books, newspapers and other publishing activities, except software publishing</t>
  </si>
  <si>
    <t>NACE J - 58.2 Software publishing</t>
  </si>
  <si>
    <t>NACE J - 59 Motion picture, video and television programme production, sound recording and music publishing activities</t>
  </si>
  <si>
    <t>NACE J - 59.1 Motion picture, video and television programme activities</t>
  </si>
  <si>
    <t>NACE J - 59.2 Sound recording and music publishing activities</t>
  </si>
  <si>
    <t>NACE J - 60 Programming, broadcasting, news agency and other content distribution activities</t>
  </si>
  <si>
    <t>NACE J - 60.1 Radio broadcasting and audio distribution activities</t>
  </si>
  <si>
    <t>NACE J - 60.2 Television programming, broadcasting and video distribution activities</t>
  </si>
  <si>
    <t>NACE J - 60.3 News agency and other content distribution activities</t>
  </si>
  <si>
    <t>NACE K - TELECOMMUNICATION, COMPUTER PROGRAMMING, CONSULTING, COMPUTING INFRASTRUCTURE AND OTHER INFORMATION SERVICE ACTIVITIES</t>
  </si>
  <si>
    <t>NACE K - 61 Telecommunication</t>
  </si>
  <si>
    <t>NACE K - 61.1 Wired, wireless, and satellite telecommunication activities</t>
  </si>
  <si>
    <t>NACE K - 61.2 Telecommunication reselling activities and intermediation service activities for telecommunication</t>
  </si>
  <si>
    <t>NACE K - 61.9 Other telecommunication activities</t>
  </si>
  <si>
    <t>NACE K - 62 Computer programming, consultancy and related activities</t>
  </si>
  <si>
    <t>NACE K - 62.1 Computer programming activities</t>
  </si>
  <si>
    <t>NACE K - 62.2 Computer consultancy and computer facilities management activities</t>
  </si>
  <si>
    <t>NACE K - 62.9 Other information technology and computer service activities</t>
  </si>
  <si>
    <t>NACE K - 63 Computing infrastructure, data processing, hosting and other information service activities</t>
  </si>
  <si>
    <t>NACE K - 63.1 Computing infrastructure, data processing, hosting and related activities</t>
  </si>
  <si>
    <t>NACE K - 63.9 Web search portal activities and other information service activities</t>
  </si>
  <si>
    <t>NACE L - FINANCIAL AND INSURANCE ACTIVITIES</t>
  </si>
  <si>
    <t>NACE L - 64 Financial service activities, except insurance and pension funding</t>
  </si>
  <si>
    <t>NACE L - 64.1 Monetary intermediation</t>
  </si>
  <si>
    <t>NACE L - 64.2 Activities of holding companies and financing conduits</t>
  </si>
  <si>
    <t>NACE L - 64.3 Activities of trusts, funds and similar financial entities</t>
  </si>
  <si>
    <t>NACE L - 64.9 Other financial service activities, except insurance and pension funding</t>
  </si>
  <si>
    <t>NACE L - 65 Insurance, reinsurance and pension funding, except compulsory social security</t>
  </si>
  <si>
    <t>NACE L - 65.1 Insurance</t>
  </si>
  <si>
    <t>NACE L - 65.2 Reinsurance</t>
  </si>
  <si>
    <t>NACE L - 65.3 Pension funding</t>
  </si>
  <si>
    <t>NACE L - 66 Activities auxiliary to financial services and insurance activities</t>
  </si>
  <si>
    <t>NACE L - 66.1 Activities auxiliary to financial services, except insurance and pension funding</t>
  </si>
  <si>
    <t>NACE L - 66.2 Activities auxiliary to insurance and pension funding</t>
  </si>
  <si>
    <t>NACE L - 66.3 Fund management activities</t>
  </si>
  <si>
    <t>NACE M - REAL ESTATE ACTIVITIES</t>
  </si>
  <si>
    <t>NACE M - 68 Real estate activities</t>
  </si>
  <si>
    <t>NACE M - 68.1 Real estate activities with own property and development of building projects</t>
  </si>
  <si>
    <t>NACE M - 68.2 Rental and operating of own or leased real estate</t>
  </si>
  <si>
    <t>NACE M - 68.3 Real estate activities on a fee or contract basis</t>
  </si>
  <si>
    <t>NACE N - PROFESSIONAL, SCIENTIFIC AND TECHNICAL ACTIVITIES</t>
  </si>
  <si>
    <t>NACE N - 69 Legal and accounting activities</t>
  </si>
  <si>
    <t>NACE N - 69.1 Legal activities</t>
  </si>
  <si>
    <t>NACE N - 69.2 Accounting, bookkeeping and auditing activities; tax consultancy</t>
  </si>
  <si>
    <t>NACE N - 70 Activities of head offices and management consultancy</t>
  </si>
  <si>
    <t>NACE N - 70.1 Activities of head offices</t>
  </si>
  <si>
    <t>NACE N - 70.2 Business and other management consultancy activities</t>
  </si>
  <si>
    <t>NACE N - 71 Architectural and engineering activities; technical testing and analysis</t>
  </si>
  <si>
    <t>NACE N - 71.1 Architectural and engineering activities and related technical consultancy</t>
  </si>
  <si>
    <t>NACE N - 71.2 Technical testing and analysis</t>
  </si>
  <si>
    <t>NACE N - 72 Scientific research and development</t>
  </si>
  <si>
    <t>NACE N - 72.1 Research and experimental development on natural sciences and engineering</t>
  </si>
  <si>
    <t>NACE N - 72.2 Research and experimental development on social sciences and humanities</t>
  </si>
  <si>
    <t>NACE N - 73 Activities of advertising, market research and public relations</t>
  </si>
  <si>
    <t>NACE N - 73.1 Advertising</t>
  </si>
  <si>
    <t>NACE N - 73.2 Market research and public opinion polling</t>
  </si>
  <si>
    <t>NACE N - 73.3 Public relations and communication activities</t>
  </si>
  <si>
    <t>NACE N - 74 Other professional, scientific and technical activities</t>
  </si>
  <si>
    <t>NACE N - 74.1 Specialised design activities</t>
  </si>
  <si>
    <t>NACE N - 74.2 Photographic activities</t>
  </si>
  <si>
    <t>NACE N - 74.3 Translation and interpretation activities</t>
  </si>
  <si>
    <t>NACE N - 74.9 Other professional, scientific and technical activities n.e.c.</t>
  </si>
  <si>
    <t>NACE N - 75 Veterinary activities</t>
  </si>
  <si>
    <t>NACE N - 75.0 Veterinary activities</t>
  </si>
  <si>
    <t>NACE O - ADMINISTRATIVE AND SUPPORT SERVICE ACTIVITIES</t>
  </si>
  <si>
    <t>NACE O - 77 Rental and leasing activities</t>
  </si>
  <si>
    <t>NACE O - 77.1 Rental and leasing of motor vehicles</t>
  </si>
  <si>
    <t>NACE O - 77.2 Rental and leasing of personal and household goods</t>
  </si>
  <si>
    <t>NACE O - 77.3 Rental and leasing of other machinery, equipment and tangible goods</t>
  </si>
  <si>
    <t>NACE O - 77.4 Leasing of intellectual property and similar products, except copyrighted works</t>
  </si>
  <si>
    <t>NACE O - 77.5 Intermediation service activities for rental and leasing of tangible goods and non-financial intangible assets</t>
  </si>
  <si>
    <t>NACE O - 78 Employment activities</t>
  </si>
  <si>
    <t>NACE O - 78.1 Activities of employment placement agencies</t>
  </si>
  <si>
    <t>NACE O - 78.2 Temporary employment agency activities and other human resource provisions</t>
  </si>
  <si>
    <t>NACE O - 79 Travel agency, tour operator and other reservation service and related activities</t>
  </si>
  <si>
    <t>NACE O - 79.1 Travel agency and tour operator activities</t>
  </si>
  <si>
    <t>NACE O - 79.9 Other reservation service and related activities</t>
  </si>
  <si>
    <t>NACE O - 80 Investigation and security activities</t>
  </si>
  <si>
    <t>NACE O - 80.0 Investigation and security activities</t>
  </si>
  <si>
    <t>NACE O - 81 Services to buildings and landscape activities</t>
  </si>
  <si>
    <t>NACE O - 81.1 Combined facilities support activities</t>
  </si>
  <si>
    <t>NACE O - 81.2 Cleaning activities</t>
  </si>
  <si>
    <t>NACE O - 81.3 Landscape service activities</t>
  </si>
  <si>
    <t>NACE O - 82 Office administrative, office support and other business support activities</t>
  </si>
  <si>
    <t>NACE O - 82.1 Office administrative and support activities</t>
  </si>
  <si>
    <t>NACE O - 82.2 Activities of call centres</t>
  </si>
  <si>
    <t>NACE O - 82.3 Organisation of conventions and trade shows</t>
  </si>
  <si>
    <t>NACE O - 82.4 Intermediation service activities for business support service activities n.e.c.</t>
  </si>
  <si>
    <t>NACE O - 82.9 Business support service activities n.e.c.</t>
  </si>
  <si>
    <t>NACE P - PUBLIC ADMINISTRATION AND DEFENCE; COMPULSORY SOCIAL SECURITY</t>
  </si>
  <si>
    <t>NACE P - 84 Public administration and defence; compulsory social security</t>
  </si>
  <si>
    <t>NACE P - 84.1 Administration of the State and the economic, social and environmental policies of the community</t>
  </si>
  <si>
    <t>NACE P - 84.2 Provision of services to the community as a whole</t>
  </si>
  <si>
    <t>NACE P - 84.3 Compulsory social security activities</t>
  </si>
  <si>
    <t>NACE Q - EDUCATION</t>
  </si>
  <si>
    <t>NACE Q - 85 Education</t>
  </si>
  <si>
    <t>NACE Q - 85.1 Pre-primary education</t>
  </si>
  <si>
    <t>NACE Q - 85.2 Primary education</t>
  </si>
  <si>
    <t>NACE Q - 85.3 Secondary and post-secondary non-tertiary education</t>
  </si>
  <si>
    <t>NACE Q - 85.4 Tertiary education</t>
  </si>
  <si>
    <t>NACE Q - 85.5 Other education</t>
  </si>
  <si>
    <t>NACE Q - 85.6 Educational support activities</t>
  </si>
  <si>
    <t>NACE R - HUMAN HEALTH AND SOCIAL WORK ACTIVITIES</t>
  </si>
  <si>
    <t>NACE R - 86 Human health activities</t>
  </si>
  <si>
    <t>NACE R - 86.1 Hospital activities</t>
  </si>
  <si>
    <t>NACE R - 86.2 Medical and dental practice activities</t>
  </si>
  <si>
    <t>NACE R - 86.9 Other human health activities</t>
  </si>
  <si>
    <t>NACE R - 87 Residential care activities</t>
  </si>
  <si>
    <t>NACE R - 87.1 Residential nursing care activities</t>
  </si>
  <si>
    <t>NACE R - 87.2 Residential care activities for persons living with or having a diagnosis of a mental illness or substance abuse</t>
  </si>
  <si>
    <t>NACE R - 87.3 Residential care activities for older persons or persons with physical disabilities</t>
  </si>
  <si>
    <t>NACE R - 87.9 Other residential care activities</t>
  </si>
  <si>
    <t>NACE R - 88 Social work activities without accommodation</t>
  </si>
  <si>
    <t>NACE R - 88.1 Social work activities without accommodation for older persons or persons with disabilities</t>
  </si>
  <si>
    <t>NACE R - 88.9 Other social work activities without accommodation</t>
  </si>
  <si>
    <t>NACE S - ARTS, SPORTS AND RECREATION</t>
  </si>
  <si>
    <t>NACE S - 90 Arts creation and performing arts activities</t>
  </si>
  <si>
    <t>NACE S - 90.1 Arts creation activities</t>
  </si>
  <si>
    <t>NACE S - 90.2 Activities of performing arts</t>
  </si>
  <si>
    <t>NACE S - 90.3 Support activities to arts creation and performing arts</t>
  </si>
  <si>
    <t>NACE S - 91 Libraries, archives, museums and other cultural activities</t>
  </si>
  <si>
    <t>NACE S - 91.1 Library and archive activities</t>
  </si>
  <si>
    <t>NACE S - 91.2 Museum, collection, historical site and monument activities</t>
  </si>
  <si>
    <t>NACE S - 91.3 Conservation, restoration and other support activities for cultural heritage</t>
  </si>
  <si>
    <t>NACE S - 91.4 Botanical and zoological garden and nature reserve activities</t>
  </si>
  <si>
    <t>NACE S - 92 Gambling and betting activities</t>
  </si>
  <si>
    <t>NACE S - 92.0 Gambling and betting activities</t>
  </si>
  <si>
    <t>NACE S - 93 Sports activities and amusement and recreation activities</t>
  </si>
  <si>
    <t>NACE S - 93.1 Sports activities</t>
  </si>
  <si>
    <t>NACE S - 93.2 Amusement and recreation activities</t>
  </si>
  <si>
    <t>NACE T - OTHER SERVICE ACTIVITIES</t>
  </si>
  <si>
    <t>NACE T - 94 Activities of membership organisations</t>
  </si>
  <si>
    <t>NACE T - 94.1 Activities of business, employers and professional membership organisations</t>
  </si>
  <si>
    <t>NACE T - 94.2 Activities of trade unions</t>
  </si>
  <si>
    <t>NACE T - 94.9 Activities of other membership organisations</t>
  </si>
  <si>
    <t>NACE T - 95 Repair and maintenance of computers, personal and household goods, and motor vehicles and motorcycles</t>
  </si>
  <si>
    <t>NACE T - 95.1 Repair and maintenance of computers and communication equipment</t>
  </si>
  <si>
    <t>NACE T - 95.2 Repair and maintenance of personal and household goods</t>
  </si>
  <si>
    <t>NACE T - 95.3 Repair and maintenance of motor vehicles and motorcycles</t>
  </si>
  <si>
    <t>NACE T - 95.4 Intermediation service activities for repair and maintenance of computers, personal and household goods, and motor vehicles and motorcycles</t>
  </si>
  <si>
    <t>NACE T - 96 Personal service activities</t>
  </si>
  <si>
    <t>NACE T - 96.1 Washing and cleaning of textile and fur products</t>
  </si>
  <si>
    <t>NACE T - 96.2 Hairdressing, beauty treatment, day spa and similar activities</t>
  </si>
  <si>
    <t>NACE T - 96.3 Funeral and related activities</t>
  </si>
  <si>
    <t>NACE T - 96.4 Intermediation service activities for personal services</t>
  </si>
  <si>
    <t>NACE T - 96.9 Other personal service activities</t>
  </si>
  <si>
    <t>NACE U - ACTIVITIES OF HOUSEHOLDS AS EMPLOYERS AND UNDIFFERENTIATED GOODS – AND SERVICE-PRODUCING ACTIVITIES OF HOUSEHOLDS FOR OWN USE</t>
  </si>
  <si>
    <t>NACE U - 97 Activities of households as employers of domestic personnel</t>
  </si>
  <si>
    <t>NACE U - 97.0 Activities of households as employers of domestic personnel</t>
  </si>
  <si>
    <t>NACE U - 98 Undifferentiated goods- and service-producing activities of private households for own use</t>
  </si>
  <si>
    <t>NACE U - 98.1 Undifferentiated goods-producing activities of private households for own use</t>
  </si>
  <si>
    <t>NACE U - 98.2 Undifferentiated service-producing activities of private households for own use</t>
  </si>
  <si>
    <t>NACE V - ACTIVITIES OF EXTRATERRITORIAL ORGANISATIONS AND BODIES</t>
  </si>
  <si>
    <t>NACE V - 99 Activities of extraterritorial organisations and bodies</t>
  </si>
  <si>
    <t>NACE V - 99.0 Activities of extraterritorial organisations and bodies</t>
  </si>
  <si>
    <t>NACE categories</t>
  </si>
  <si>
    <t>Arsenic and compounds (As)</t>
  </si>
  <si>
    <t>Cadmium and compounds (Cd)</t>
  </si>
  <si>
    <t>Chlorine and inorganic compounds (HCl)</t>
  </si>
  <si>
    <t>Chromium and compounds (Cr)</t>
  </si>
  <si>
    <t>Copper and compounds (Cu)</t>
  </si>
  <si>
    <t>Fluorine and inorganic compounds (HF)</t>
  </si>
  <si>
    <t>Halogenated organic compounds (AOX)</t>
  </si>
  <si>
    <t>Lead and compounds (Pb)</t>
  </si>
  <si>
    <t>Mercury and compounds (Hg)</t>
  </si>
  <si>
    <t>Nickel and compounds (Ni)</t>
  </si>
  <si>
    <t>Organotin compounds (total Sn)</t>
  </si>
  <si>
    <t>PCDD + PCDF (dioxins + furans) (Teq)</t>
  </si>
  <si>
    <t>Phenols (total C)</t>
  </si>
  <si>
    <t>Total organic carbon (TOC) (total C or COD/3)</t>
  </si>
  <si>
    <t>Zinc and compounds (Zn)</t>
  </si>
  <si>
    <t>Chlorides (total Cl)</t>
  </si>
  <si>
    <t>Cyanides (total CN)</t>
  </si>
  <si>
    <t>Fluorides (total F)</t>
  </si>
  <si>
    <t>1,2-dichloroethane (EDC)</t>
  </si>
  <si>
    <t>1,2,3,4,5,6-hexachlorocyclohexane (HCH)</t>
  </si>
  <si>
    <t>1,1,2,2-tetrachloroethane</t>
  </si>
  <si>
    <t>1,1,1-trichloroethane</t>
  </si>
  <si>
    <t>0. Provide information that is mandatory in order to generate the VSME and XBRL Report.</t>
  </si>
  <si>
    <t>Area</t>
  </si>
  <si>
    <t>Water discharge from undertaking production processes (m³)</t>
  </si>
  <si>
    <t>Base Year</t>
  </si>
  <si>
    <t>Target Year</t>
  </si>
  <si>
    <t>Gross Scope 1 GHG Emissions</t>
  </si>
  <si>
    <t>Gross Scope 2 location-based GHG Emissions</t>
  </si>
  <si>
    <t>Total Scope 1 and Scope 2 GHG Emissions (location-based)</t>
  </si>
  <si>
    <t>-</t>
  </si>
  <si>
    <t>Undertaking applies circular economy principles</t>
  </si>
  <si>
    <t>Specify other human rights related to the confirmed incidents</t>
  </si>
  <si>
    <t>Date of foreseen adoption of transition plan for undertaking not having adopted transition plan yet</t>
  </si>
  <si>
    <t>Total Renewable Energy [MWh]</t>
  </si>
  <si>
    <t>Total Non-renewable Energy [MWh]</t>
  </si>
  <si>
    <t>Related Site ID (select an ID from a site location reported in B1)</t>
  </si>
  <si>
    <t>Number of female board members at the end of the reporting period</t>
  </si>
  <si>
    <t>Number of male board members at the end of the reporting period</t>
  </si>
  <si>
    <t>Percentage reduction from base year</t>
  </si>
  <si>
    <t>Employee turnover rate [%]  in the reporting period</t>
  </si>
  <si>
    <t>Description of climate-related hazards and climate-related transition events</t>
  </si>
  <si>
    <t>15. Investments</t>
  </si>
  <si>
    <t>hectares (ha)</t>
  </si>
  <si>
    <r>
      <t>cubic meters (m3</t>
    </r>
    <r>
      <rPr>
        <sz val="11"/>
        <color theme="1"/>
        <rFont val="Aptos Narrow"/>
        <family val="2"/>
      </rPr>
      <t>)</t>
    </r>
  </si>
  <si>
    <r>
      <t>squared meters (m2</t>
    </r>
    <r>
      <rPr>
        <sz val="11"/>
        <color theme="1"/>
        <rFont val="Aptos Narrow"/>
        <family val="2"/>
      </rPr>
      <t>)</t>
    </r>
  </si>
  <si>
    <t>Localization formula</t>
  </si>
  <si>
    <t>Longitude</t>
  </si>
  <si>
    <t>Latitude</t>
  </si>
  <si>
    <t>Longitude,Latitude ('General information!'K106:K130)</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</si>
  <si>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</si>
  <si>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r>
      <t xml:space="preserve">List of currencies  </t>
    </r>
    <r>
      <rPr>
        <sz val="11"/>
        <color theme="1"/>
        <rFont val="Aptos Narrow"/>
        <family val="2"/>
        <scheme val="minor"/>
      </rPr>
      <t>(ISO 4217)</t>
    </r>
  </si>
  <si>
    <t>Total Energy [MWh]</t>
  </si>
  <si>
    <t>3. Fuel- and Energy-Related Activities (Not Included in Scope 1 or Scope 2)</t>
  </si>
  <si>
    <t>g</t>
  </si>
  <si>
    <t>hg</t>
  </si>
  <si>
    <t>Kg</t>
  </si>
  <si>
    <t>t</t>
  </si>
  <si>
    <t>Mg</t>
  </si>
  <si>
    <t>Gg</t>
  </si>
  <si>
    <t>Tg</t>
  </si>
  <si>
    <t>dag</t>
  </si>
  <si>
    <t>Undertaking has set a target which is related to a policy</t>
  </si>
  <si>
    <t>Description of target related to a policy</t>
  </si>
  <si>
    <t>Description of those key elements in the strategy that relate or affect sustainability issues</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</si>
  <si>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</si>
  <si>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Adoption of a transition plan is planned in the future</t>
  </si>
  <si>
    <t>Total Scope 3 GHG  emissions</t>
  </si>
  <si>
    <t>Typical renewability state</t>
  </si>
  <si>
    <t>Butane and isomers</t>
  </si>
  <si>
    <t>Gaseous</t>
  </si>
  <si>
    <t>Natural gas liquids (NGL)</t>
  </si>
  <si>
    <t>Kerosene</t>
  </si>
  <si>
    <t>Crude oil and distillates</t>
  </si>
  <si>
    <t>Main sources (density and NCV values in white cells):</t>
  </si>
  <si>
    <t>Additional sources (density and NCV values in red cells):</t>
  </si>
  <si>
    <t>a.</t>
  </si>
  <si>
    <t>b.</t>
  </si>
  <si>
    <t>c.</t>
  </si>
  <si>
    <t>d.</t>
  </si>
  <si>
    <t>e.</t>
  </si>
  <si>
    <t>f.</t>
  </si>
  <si>
    <t>g.</t>
  </si>
  <si>
    <t>h.</t>
  </si>
  <si>
    <t>i.</t>
  </si>
  <si>
    <t>l.</t>
  </si>
  <si>
    <t>m.</t>
  </si>
  <si>
    <t>n.</t>
  </si>
  <si>
    <t>o.</t>
  </si>
  <si>
    <t>p.</t>
  </si>
  <si>
    <t>q.</t>
  </si>
  <si>
    <t>r.</t>
  </si>
  <si>
    <t>s.</t>
  </si>
  <si>
    <t>t.</t>
  </si>
  <si>
    <t>j.</t>
  </si>
  <si>
    <t>k.</t>
  </si>
  <si>
    <t>Sulphite lyes (black liquor)</t>
  </si>
  <si>
    <t>Total water consumption (m³)</t>
  </si>
  <si>
    <t>Total amount of waste generated</t>
  </si>
  <si>
    <t>Total Hazardous waste generated (mass)</t>
  </si>
  <si>
    <t>Total Non-Hazardous waste generated (mass)</t>
  </si>
  <si>
    <t>Total waste generated (mass)</t>
  </si>
  <si>
    <t>Total Hazardous waste generated (volume)</t>
  </si>
  <si>
    <t>Total Non-Hazardous waste generated (volume)</t>
  </si>
  <si>
    <t>Total waste generated (volume)</t>
  </si>
  <si>
    <t>Disclosure of whether it has undertaken climate change adaptation actions for any climate-related hazards and transition events</t>
  </si>
  <si>
    <t>Taxonomy entry point:</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</si>
  <si>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</si>
  <si>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</si>
  <si>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</si>
  <si>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</si>
  <si>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</si>
  <si>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</si>
  <si>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</si>
  <si>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</si>
  <si>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</si>
  <si>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</si>
  <si>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</si>
  <si>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</si>
  <si>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</si>
  <si>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</si>
  <si>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</si>
  <si>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</si>
  <si>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</si>
  <si>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</si>
  <si>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</si>
  <si>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</si>
  <si>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</si>
  <si>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</si>
  <si>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</si>
  <si>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</si>
  <si>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</si>
  <si>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</si>
  <si>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</si>
  <si>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</si>
  <si>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</si>
  <si>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</si>
  <si>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</si>
  <si>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</si>
  <si>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</si>
  <si>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</si>
  <si>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</si>
  <si>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</si>
  <si>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</si>
  <si>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</si>
  <si>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</si>
  <si>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</si>
  <si>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</si>
  <si>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</si>
  <si>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</si>
  <si>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</si>
  <si>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</si>
  <si>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Overall Validation Status</t>
  </si>
  <si>
    <t>Table of Contents</t>
  </si>
  <si>
    <t>Contents grouping follows template's framework</t>
  </si>
  <si>
    <t>Specific Content Validation Status</t>
  </si>
  <si>
    <t>General Information</t>
  </si>
  <si>
    <t>Environmental Disclosures</t>
  </si>
  <si>
    <t>Social Disclosures</t>
  </si>
  <si>
    <t>Governance Disclosures</t>
  </si>
  <si>
    <t>· B5 - Biodiversity</t>
  </si>
  <si>
    <t>Mass and Volume</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</si>
  <si>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</si>
  <si>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Further notes:</t>
  </si>
  <si>
    <t>Usage of Fuel Converter:</t>
  </si>
  <si>
    <t>Financial investment in the capital or assets of social economy entities referred to in the Council Recommendation of 29 September 2023 (excluding donations and contributions)</t>
  </si>
  <si>
    <t>· B2 - Practices, policies and future initiatives for transitioning towards a more sustainable economy</t>
  </si>
  <si>
    <t>Source</t>
  </si>
  <si>
    <t>Days</t>
  </si>
  <si>
    <t>Is the undertaking disclosing entity-specific information on Scope 3 emissions (in tCO2e)?</t>
  </si>
  <si>
    <t>Identifier (context identifier scheme)</t>
  </si>
  <si>
    <t>LEI</t>
  </si>
  <si>
    <t>DUNS</t>
  </si>
  <si>
    <t>EU ID</t>
  </si>
  <si>
    <t>PermID</t>
  </si>
  <si>
    <t>Identifier of the reporting entity (select and specify on the right)</t>
  </si>
  <si>
    <t>· Information on the report necessary for  XBRL</t>
  </si>
  <si>
    <t>· Information on previous reporting period</t>
  </si>
  <si>
    <t>· B1 - Basis for Preparation</t>
  </si>
  <si>
    <t>· C1 - Strategy: Business Model and Sustainability – Related Initiatives</t>
  </si>
  <si>
    <t>· C2 - Description of practices, policies and future initiatives for transitioning towards a more sustainable economy</t>
  </si>
  <si>
    <t>· Disclosure of any other general and/or entity specific information on the reporting period</t>
  </si>
  <si>
    <t>· B3 - Energy and greenhouse gas emissions</t>
  </si>
  <si>
    <t>· B4 - Pollution of air, water and soil</t>
  </si>
  <si>
    <t>· B6 - Water</t>
  </si>
  <si>
    <t>· B7 - Resource use, circular economy and waste management</t>
  </si>
  <si>
    <t>· C3 - GHG reduction targets and climate transition</t>
  </si>
  <si>
    <t>· C4 - Climate risks</t>
  </si>
  <si>
    <t>· B8 - Workforce - General characteristics</t>
  </si>
  <si>
    <t>· B9 - Workforce – Health and safety</t>
  </si>
  <si>
    <t>· C5 - Additional (general) workforce characteristics</t>
  </si>
  <si>
    <t>· C6 - Additional own workforce information - Human rights policies and processes</t>
  </si>
  <si>
    <t>· C7 - Severe negative human rights incidents</t>
  </si>
  <si>
    <t>· Disclosure of any other social and/or entity specific social disclosures</t>
  </si>
  <si>
    <t>· B11 - Convictions and fines for corruption and bribery</t>
  </si>
  <si>
    <t>· C9 - Gender diversity ratio in the governance body</t>
  </si>
  <si>
    <t>· Disclosure of any other governance and/or entity specific governance disclosures</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</si>
  <si>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</si>
  <si>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</si>
  <si>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</si>
  <si>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</si>
  <si>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</si>
  <si>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</si>
  <si>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</si>
  <si>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</si>
  <si>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</si>
  <si>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</si>
  <si>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</si>
  <si>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</si>
  <si>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</si>
  <si>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</si>
  <si>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</si>
  <si>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</si>
  <si>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</si>
  <si>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t>Additional Disclosures</t>
  </si>
  <si>
    <t>VSME Digital Template</t>
  </si>
  <si>
    <t>24(e)(v)</t>
  </si>
  <si>
    <t>38(a) and 38(b)</t>
  </si>
  <si>
    <t>62(c)</t>
  </si>
  <si>
    <t>Paragraph Guidance Reference</t>
  </si>
  <si>
    <t>Paragraph Reference</t>
  </si>
  <si>
    <t>24(a)</t>
  </si>
  <si>
    <t>24(b)</t>
  </si>
  <si>
    <t>24(c)</t>
  </si>
  <si>
    <t>24(e)(ii)</t>
  </si>
  <si>
    <t>24(e)(iii)</t>
  </si>
  <si>
    <t>24(e)(iv)</t>
  </si>
  <si>
    <t>24(e)(vi)</t>
  </si>
  <si>
    <t>24(d)</t>
  </si>
  <si>
    <t>24(e)(vii)</t>
  </si>
  <si>
    <t>26-28</t>
  </si>
  <si>
    <t>47(a)</t>
  </si>
  <si>
    <t>47(b)</t>
  </si>
  <si>
    <t>47(c)</t>
  </si>
  <si>
    <t>47(d)</t>
  </si>
  <si>
    <t>54(b)</t>
  </si>
  <si>
    <t>54(a)</t>
  </si>
  <si>
    <t xml:space="preserve">54(d) </t>
  </si>
  <si>
    <t>50-53</t>
  </si>
  <si>
    <t>54(e)</t>
  </si>
  <si>
    <t>38(c)</t>
  </si>
  <si>
    <t>57(a)</t>
  </si>
  <si>
    <t>57(b)</t>
  </si>
  <si>
    <t>57(c)</t>
  </si>
  <si>
    <t>57(d)</t>
  </si>
  <si>
    <t>39(a)</t>
  </si>
  <si>
    <t>39(b)</t>
  </si>
  <si>
    <t>39(c)</t>
  </si>
  <si>
    <t>41(a)</t>
  </si>
  <si>
    <t>41(b)</t>
  </si>
  <si>
    <t>42(a)</t>
  </si>
  <si>
    <t>42(b)</t>
  </si>
  <si>
    <t>42(c)</t>
  </si>
  <si>
    <t>42(d)</t>
  </si>
  <si>
    <t>61(a)</t>
  </si>
  <si>
    <t>61(b)</t>
  </si>
  <si>
    <t>61(c)</t>
  </si>
  <si>
    <t>62(a)</t>
  </si>
  <si>
    <t>62(b)</t>
  </si>
  <si>
    <t>63(a)</t>
  </si>
  <si>
    <t>63(b)</t>
  </si>
  <si>
    <t>63(c)</t>
  </si>
  <si>
    <t>63(d)</t>
  </si>
  <si>
    <t>2. Find more information on the actual disclosure requirements in the VSME Standard and the related guidance linked to each cell. Additional or entity-specific disclosures can be provided in each text box at the end of each worksheet.</t>
  </si>
  <si>
    <t>Indicates that the cell is automatically calculated and that no data entry is required.</t>
  </si>
  <si>
    <t>Validation MISSING VALUE/ERROR/VALUE INCONSISTENCY/INVALID URL</t>
  </si>
  <si>
    <t>Indicates that the cell should be filled either by selecting a value from the dropdown (e.g. Type of fuel or Unit of Measurement) or by entering an amount.</t>
  </si>
  <si>
    <t>Day</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</si>
  <si>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</si>
  <si>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AED</t>
  </si>
  <si>
    <t>AFN</t>
  </si>
  <si>
    <t>ALL</t>
  </si>
  <si>
    <t>AMD</t>
  </si>
  <si>
    <t>ANG</t>
  </si>
  <si>
    <t>AOA</t>
  </si>
  <si>
    <t>ARS</t>
  </si>
  <si>
    <t>AUD</t>
  </si>
  <si>
    <t>AWG</t>
  </si>
  <si>
    <t>AZN</t>
  </si>
  <si>
    <t>BAM</t>
  </si>
  <si>
    <t>BBD</t>
  </si>
  <si>
    <t>BDT</t>
  </si>
  <si>
    <t>BGN</t>
  </si>
  <si>
    <t>BHD</t>
  </si>
  <si>
    <t>BIF</t>
  </si>
  <si>
    <t>BMD</t>
  </si>
  <si>
    <t>BND</t>
  </si>
  <si>
    <t>BOB</t>
  </si>
  <si>
    <t>BOV</t>
  </si>
  <si>
    <t>BRL</t>
  </si>
  <si>
    <t>BSD</t>
  </si>
  <si>
    <t>BTN</t>
  </si>
  <si>
    <t>BWP</t>
  </si>
  <si>
    <t>BZD</t>
  </si>
  <si>
    <t>CAD</t>
  </si>
  <si>
    <t>CDF</t>
  </si>
  <si>
    <t>CHE</t>
  </si>
  <si>
    <t>CHF</t>
  </si>
  <si>
    <t>CHW</t>
  </si>
  <si>
    <t>CLF</t>
  </si>
  <si>
    <t>CLP</t>
  </si>
  <si>
    <t>CNY</t>
  </si>
  <si>
    <t>COP</t>
  </si>
  <si>
    <t>COU</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</si>
  <si>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</si>
  <si>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</si>
  <si>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</si>
  <si>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</si>
  <si>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</si>
  <si>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</si>
  <si>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</si>
  <si>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</si>
  <si>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</si>
  <si>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</si>
  <si>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</si>
  <si>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</si>
  <si>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</si>
  <si>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</si>
  <si>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</si>
  <si>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</si>
  <si>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</si>
  <si>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</si>
  <si>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</si>
  <si>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</si>
  <si>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</si>
  <si>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</si>
  <si>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</si>
  <si>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</si>
  <si>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</si>
  <si>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</si>
  <si>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</si>
  <si>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</si>
  <si>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</si>
  <si>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</si>
  <si>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</si>
  <si>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</si>
  <si>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</si>
  <si>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</si>
  <si>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</si>
  <si>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</si>
  <si>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</si>
  <si>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</si>
  <si>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</si>
  <si>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</si>
  <si>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</si>
  <si>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</si>
  <si>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</si>
  <si>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</si>
  <si>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</si>
  <si>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</si>
  <si>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</si>
  <si>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</si>
  <si>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</si>
  <si>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</si>
  <si>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</si>
  <si>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</si>
  <si>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</si>
  <si>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</si>
  <si>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</si>
  <si>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</si>
  <si>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</si>
  <si>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</si>
  <si>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</si>
  <si>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</si>
  <si>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</si>
  <si>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</si>
  <si>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</si>
  <si>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</si>
  <si>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</si>
  <si>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</si>
  <si>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</si>
  <si>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</si>
  <si>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</si>
  <si>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</si>
  <si>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</si>
  <si>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</si>
  <si>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</si>
  <si>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</si>
  <si>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</si>
  <si>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</si>
  <si>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</si>
  <si>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</si>
  <si>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</si>
  <si>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</si>
  <si>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</si>
  <si>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</si>
  <si>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</si>
  <si>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</si>
  <si>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</si>
  <si>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</si>
  <si>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</si>
  <si>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</si>
  <si>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</si>
  <si>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</si>
  <si>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</si>
  <si>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</si>
  <si>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</si>
  <si>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</si>
  <si>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</si>
  <si>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</si>
  <si>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SSP</t>
  </si>
  <si>
    <t>STD</t>
  </si>
  <si>
    <t>SVC</t>
  </si>
  <si>
    <t>SYP</t>
  </si>
  <si>
    <t>SZL</t>
  </si>
  <si>
    <t>THB</t>
  </si>
  <si>
    <t>TJS</t>
  </si>
  <si>
    <t>TMT</t>
  </si>
  <si>
    <t>TND</t>
  </si>
  <si>
    <t>TOP</t>
  </si>
  <si>
    <t>TRY</t>
  </si>
  <si>
    <t>TTD</t>
  </si>
  <si>
    <t>TWD</t>
  </si>
  <si>
    <t>TZS</t>
  </si>
  <si>
    <t>UAH</t>
  </si>
  <si>
    <t>UGX</t>
  </si>
  <si>
    <t>USD</t>
  </si>
  <si>
    <t>UYI</t>
  </si>
  <si>
    <t>UYU</t>
  </si>
  <si>
    <t>UZS</t>
  </si>
  <si>
    <t>VES</t>
  </si>
  <si>
    <t>VND</t>
  </si>
  <si>
    <t>VUV</t>
  </si>
  <si>
    <t>WST</t>
  </si>
  <si>
    <t>XAF</t>
  </si>
  <si>
    <t>XAG</t>
  </si>
  <si>
    <t>XAU</t>
  </si>
  <si>
    <t>XCD</t>
  </si>
  <si>
    <t>XDR</t>
  </si>
  <si>
    <t>XOF</t>
  </si>
  <si>
    <t>XPD</t>
  </si>
  <si>
    <t>XPF</t>
  </si>
  <si>
    <t>XPT</t>
  </si>
  <si>
    <t>XSU</t>
  </si>
  <si>
    <t>XUA</t>
  </si>
  <si>
    <t>YER</t>
  </si>
  <si>
    <t>ZAR</t>
  </si>
  <si>
    <t>ZMW</t>
  </si>
  <si>
    <t>24(e)(i)</t>
  </si>
  <si>
    <t>Label ID</t>
  </si>
  <si>
    <t>en</t>
  </si>
  <si>
    <t>Currency of the monetary values in the report</t>
  </si>
  <si>
    <t>List of disclosures for which no changes are reported compared to the previous period reporting</t>
  </si>
  <si>
    <t>B1 - Basis for Preparation and other undertaking's general information</t>
  </si>
  <si>
    <t>List of omitted disclosures deemed to be classified or sensitive information</t>
  </si>
  <si>
    <t>Turnover in</t>
  </si>
  <si>
    <t>B3 - Total Energy Consumption (in MWh)</t>
  </si>
  <si>
    <t>B3 - Breakdown of energy consumption (in MWh)</t>
  </si>
  <si>
    <t>Self-generated electricity</t>
  </si>
  <si>
    <t>Fuels (see Fuel Converter on Fuels worksheet)</t>
  </si>
  <si>
    <t>Has  the undertaking has established GHG emission reduction targets?</t>
  </si>
  <si>
    <t>1. Purchased Goods and Services</t>
  </si>
  <si>
    <t>2. Capital Goods</t>
  </si>
  <si>
    <t>4. Upstream Transportation and Distribution</t>
  </si>
  <si>
    <t>5. Waste Generated in Operations</t>
  </si>
  <si>
    <t>6. Business Travel</t>
  </si>
  <si>
    <t>7. Employee Commuting</t>
  </si>
  <si>
    <t>8. Upstream Leased Assets</t>
  </si>
  <si>
    <t>9. Downstream Transportation and Distribution</t>
  </si>
  <si>
    <t>10. Processing of Sold Products</t>
  </si>
  <si>
    <t>11. Use of Sold Products</t>
  </si>
  <si>
    <t>12. End-of-Life Treatment of Sold Products</t>
  </si>
  <si>
    <t>13. Downstream Leased Assets</t>
  </si>
  <si>
    <t>14. Franchises</t>
  </si>
  <si>
    <t>Is the undertaking operating in high impact sectors?</t>
  </si>
  <si>
    <t>Status of implementation of a transition plan in relation to climate change mitigation</t>
  </si>
  <si>
    <t>Please provide the relevant URL link or hyperlink of where this information is reported</t>
  </si>
  <si>
    <t>Pollutant</t>
  </si>
  <si>
    <t>Emission to air</t>
  </si>
  <si>
    <t>Emission to water</t>
  </si>
  <si>
    <t>Emission to soil</t>
  </si>
  <si>
    <t>Total nature-oriented area on-site</t>
  </si>
  <si>
    <t>Total nature-oriented area off-site</t>
  </si>
  <si>
    <t>Waste diverted to recycle or reuse</t>
  </si>
  <si>
    <t>Total annual mass-flow of relevant materials used (volume in m³)</t>
  </si>
  <si>
    <t>Rate of recordable work-related accidents in the reporting period</t>
  </si>
  <si>
    <t>Number of male employees at management level</t>
  </si>
  <si>
    <t>Does the undertaking have a complaint-handling mechanism for its own workforce?</t>
  </si>
  <si>
    <t>Monetary amount in</t>
  </si>
  <si>
    <t>Undertakings are excluded from any EU reference benchmarks that are aligned with the Paris Agreement</t>
  </si>
  <si>
    <t>Gender diversity ratio in governance body</t>
  </si>
  <si>
    <t>Information on the report necessary for  XBRL</t>
  </si>
  <si>
    <t>[Always to be reported]</t>
  </si>
  <si>
    <t>Description of significant groups of products and or services offered</t>
  </si>
  <si>
    <t>Disclosure of any other general and or entity specific information on the reporting period</t>
  </si>
  <si>
    <t>Gross scope 2 market-based GHG Emissions</t>
  </si>
  <si>
    <t>[If applicable]</t>
  </si>
  <si>
    <t>[May (optional)]</t>
  </si>
  <si>
    <t>Disclosure of any other environmental and or entity specific environmental disclosures</t>
  </si>
  <si>
    <t>[Always to be reported + If applicable]</t>
  </si>
  <si>
    <t>Average gross hourly pay level of male employees</t>
  </si>
  <si>
    <t>Average gross hourly pay level of female employees</t>
  </si>
  <si>
    <t>Description of actions taken to address the confirmed incidents</t>
  </si>
  <si>
    <t>1% or more of their revenues from exploration mining extraction distribution or refining of hard coal and lignite</t>
  </si>
  <si>
    <t>10% or more of their revenues from the exploration extraction distribution or refining of oil fuels</t>
  </si>
  <si>
    <t>50% or more of their revenues from the exploration extraction manufacturing or distribution of gaseous fuels</t>
  </si>
  <si>
    <t>B2 - Cooperative specific disclosures</t>
  </si>
  <si>
    <t>B3 - Estimated Greenhouse Gas Emissions considering the GHG Protocol Version 2004 (in tCO2e)</t>
  </si>
  <si>
    <t>C3 - GHG reduction targets (in tC02e)</t>
  </si>
  <si>
    <t>Total Scope 1 and Scope 2 GHG emissions  (market-based)</t>
  </si>
  <si>
    <t>C3 - Disclosure of list of main actions the entity seeks in order to achieve its targets</t>
  </si>
  <si>
    <t>C3 - Transition plan for undertakings operating in high climate impact sectors</t>
  </si>
  <si>
    <t>B3 - Greenhouse gas emission intensity per turnover (in tCO2e)</t>
  </si>
  <si>
    <t>Scope 1 and Scope 2 GHG Emissions intensity (location-based)</t>
  </si>
  <si>
    <t>Scope 1 and Scope 2 GHG Emissions intensity (market-based)</t>
  </si>
  <si>
    <t>B5 - Sites in biodiversity sensitive areas</t>
  </si>
  <si>
    <t>B5 - Biodiversity - Land-use</t>
  </si>
  <si>
    <t>B6 - Water Withdrawal</t>
  </si>
  <si>
    <t>B6 - Water Consumption</t>
  </si>
  <si>
    <t>B7 - Description of circular economy principles</t>
  </si>
  <si>
    <t>B7 - Waste generated</t>
  </si>
  <si>
    <t>B7 – Annual mass-flow of relevant materials used</t>
  </si>
  <si>
    <t>B8 – Workforce – General characteristics - Type of contract</t>
  </si>
  <si>
    <t>B8 – Workforce – General characteristics - Gender</t>
  </si>
  <si>
    <t>B8 – Workforce – General characteristics - Country of employment</t>
  </si>
  <si>
    <t>B8 – Workforce – General characteristics - Turnover rate</t>
  </si>
  <si>
    <t>Percentage gap in pay between the  undertaking's female and male employees [%]</t>
  </si>
  <si>
    <t>C8 – Exclusion from EU reference benchmarks</t>
  </si>
  <si>
    <t>Select Template Display Language:</t>
  </si>
  <si>
    <t>Effective participation of workers users or other interested parties or communities in governance</t>
  </si>
  <si>
    <t>Undertaking has a practice policy and or future initiative that is publicly available</t>
  </si>
  <si>
    <t>Description of sustainability-related certification(s) or label(s) including where relevant the issuers of the certification or label date and rating score</t>
  </si>
  <si>
    <t>B2 – Practices policies and future initiatives for transitioning towards a more sustainable economy</t>
  </si>
  <si>
    <t>C2 – Description of practices policies and future initiatives for transitioning towards a more sustainable economy</t>
  </si>
  <si>
    <t>Total Scope 1 Scope 2 and Scope 3 GHG Emissions (location-based)</t>
  </si>
  <si>
    <t>Total Scope 1 Scope 2 and Scope 3 GHG Emissions (market-based)</t>
  </si>
  <si>
    <t>Description of a transition plan for climate change mitigation including an explanation of how it is contributing to reduce GHG emissions</t>
  </si>
  <si>
    <t>Total Scope 1 Scope 2 and Scope 3 GHG Emissions intensity (location-based)</t>
  </si>
  <si>
    <t>Total Scope 1 Scope 2 and Scope 3 GHG Emissions intensity (market-based)</t>
  </si>
  <si>
    <t>B4 – Pollution of air water and soil</t>
  </si>
  <si>
    <t>Is the undertaking already required by law or other national regulations to report to competent authorities its emissions of pollutants or does it already voluntarily report on them according to an Environmental Management System?</t>
  </si>
  <si>
    <t>Total amount of water withdrawn from all sites (cubic meters m³)</t>
  </si>
  <si>
    <t>Amount of water withdrawn at sites located in areas of high water-stress (cubic meters m³)</t>
  </si>
  <si>
    <t>Does the undertaking have production processes in place which significantly consume water (e.g. thermal energy processes like drying or power production production of goods agricultural irrigation etc.)?</t>
  </si>
  <si>
    <t>Has the undertaking identified climate-related hazards and climate-related transition events creating gross climate-related risks for the undertaking?</t>
  </si>
  <si>
    <t>Disclosure of how it has assessed the exposure and sensitivity of its assets activities and value chain to these hazards and transition events</t>
  </si>
  <si>
    <t>Potential adverse effects of climate risks that may affect its financial performance or business operations in the short- medium- or long-term indicating whether it assesses the risks to be high medium or low</t>
  </si>
  <si>
    <t>Employee counting methodology for the disclosures below (Headcount or Full time Equivalent linked from B1</t>
  </si>
  <si>
    <t>B10 – Workforce – Remuneration collective bargaining and training</t>
  </si>
  <si>
    <t>If yes does this cover:</t>
  </si>
  <si>
    <t>If yes are incidents related to:</t>
  </si>
  <si>
    <t>Is the undertaking aware of any confirmed incidents involving workers in the value chain affected communities consumers and end-users?</t>
  </si>
  <si>
    <t>Specification of any confirmed incident involving workers in the value chain affected communities consumers and end-users</t>
  </si>
  <si>
    <t>Revenue derived from controversial weapons (anti-personnel mines cluster munitions chemical weapons and biological weapons)</t>
  </si>
  <si>
    <t>Has the undertaking put in place specific practices policies and or future initiatives for transitioning towards a more sustainable economy?</t>
  </si>
  <si>
    <t>Sustainability issues addressed by a practice policy and or future initiatives that the undertaking has put in place</t>
  </si>
  <si>
    <t>Description of a practice policy and or future initiative towards a more sustainable future (In case the practice  policy  future initiative covers suppliers or clients the undertaking shall mention it)</t>
  </si>
  <si>
    <t>Site Location in near a biodiversity area - auto filled from B1</t>
  </si>
  <si>
    <t>Disclosure of any other social and or entity specific social disclosures</t>
  </si>
  <si>
    <t>50% or more of their revenues from electricity generation with a GHG intensity of more than 100g CO2 e kWh</t>
  </si>
  <si>
    <t>Disclosure of any other governance and or entity specific governance disclosures</t>
  </si>
  <si>
    <t>Employee counting methodology for the disclosures below (At the end of the reporting period or as an average across the reporting period linked from B1)</t>
  </si>
  <si>
    <t>Reporting period start date (yyyy-mm-dd)</t>
  </si>
  <si>
    <t>Reporting period end date  (yyyy-mm-dd)</t>
  </si>
  <si>
    <t>Fuel type</t>
  </si>
  <si>
    <t>Typical renewable state</t>
  </si>
  <si>
    <t>Calculated Energy in MWh</t>
  </si>
  <si>
    <t>1. In cell A9 select the Fuel used, searching for it or scrolling down the list displayed clicking the cell</t>
  </si>
  <si>
    <t>2. In cell B9 select the Unit of measurement used</t>
  </si>
  <si>
    <t>3. In cell C9 select the Amount of fuel used</t>
  </si>
  <si>
    <t>5. In cell E9 it is displayed the Typical renewability state for the Fuel selected</t>
  </si>
  <si>
    <t>4. In cell D9 it is displayed the State of matter for the Fuel selected</t>
  </si>
  <si>
    <t>6. In cell F9 is displayed the Energy produced in Mega Watt hours by the Amount of Fuel specified</t>
  </si>
  <si>
    <t>template_label_information_on_previous_reporting_period</t>
  </si>
  <si>
    <t>template_label_disclosures_from_the_previous_reporting_period_that_remain_unchanged</t>
  </si>
  <si>
    <t>template_label_disclosures_for_which_no_changes_are_reported_compared_to_the_previous_period_reporting</t>
  </si>
  <si>
    <t>template_label_link_to_previous_report_containing_disclosures_that_remain_unchanged</t>
  </si>
  <si>
    <t>template_label_b1_basis_for_preparation_and_other_undertakings_general_information</t>
  </si>
  <si>
    <t>template_label_paragraph_reference</t>
  </si>
  <si>
    <t>template_label_paragraph_guidance_reference</t>
  </si>
  <si>
    <t>template_label_always_to_be_reported</t>
  </si>
  <si>
    <t>template_label_if_applicable</t>
  </si>
  <si>
    <t>template_label_may</t>
  </si>
  <si>
    <t>template_label_always_to_be_reported_if_applicable</t>
  </si>
  <si>
    <t>template_label_information_on_the_report_necessary_for_xbrl</t>
  </si>
  <si>
    <t>template_label_name_of_the_reporting_entity</t>
  </si>
  <si>
    <t>template_label_identifier_of_the_reporting_entity</t>
  </si>
  <si>
    <t>template_label_currency_of_the_monetary_values_in_the_report</t>
  </si>
  <si>
    <t>template_label_starting_year</t>
  </si>
  <si>
    <t>template_label_starting_month</t>
  </si>
  <si>
    <t>template_label_starting_day</t>
  </si>
  <si>
    <t>template_label_reporting_period_start_date</t>
  </si>
  <si>
    <t>template_label_ending_year</t>
  </si>
  <si>
    <t>template_label_ending_month</t>
  </si>
  <si>
    <t>template_label_ending_day</t>
  </si>
  <si>
    <t>template_label_reporting_period_end_date</t>
  </si>
  <si>
    <t>template_label_basis_for_preparation</t>
  </si>
  <si>
    <t>template_label_list_of_omitted_disclosures_deemed_to_be_classified_or_sensitive_information</t>
  </si>
  <si>
    <t>template_label_basis_for_reporting</t>
  </si>
  <si>
    <t>template_label_undertakings_legal_form</t>
  </si>
  <si>
    <t>template_label_other_undertakings_legal_form_specification</t>
  </si>
  <si>
    <t>template_label_nace_sector_classification_code</t>
  </si>
  <si>
    <t>template_label_size_of_balance_sheet_in</t>
  </si>
  <si>
    <t>template_label_turnover_in</t>
  </si>
  <si>
    <t>template_label_number_of_employees</t>
  </si>
  <si>
    <t>template_label_employee_counting_methodology_end_of_reporting_period_or_average_during_the_reporting_period</t>
  </si>
  <si>
    <t>template_label_employee_counting_methodology_headcount_or_fulltime_equivalent</t>
  </si>
  <si>
    <t>template_label_country_of_primary_operations_and_location_of_significant_asset</t>
  </si>
  <si>
    <t>template_label_b1_list_of_subsidiaries</t>
  </si>
  <si>
    <t>template_label_id</t>
  </si>
  <si>
    <t>template_label_name</t>
  </si>
  <si>
    <t>template_label_registered_address</t>
  </si>
  <si>
    <t>template_label_b1_disclosure_of_sustainability_related_certification_or_label</t>
  </si>
  <si>
    <t>template_label_has_the_undertaking_obtained_any_sustainability_related_certification_or_label</t>
  </si>
  <si>
    <t>template_label_description_of_sustainability_related_certification_or_label</t>
  </si>
  <si>
    <t>template_label_b1_list_of_site</t>
  </si>
  <si>
    <t>template_label_address</t>
  </si>
  <si>
    <t>template_label_postal_code</t>
  </si>
  <si>
    <t>template_label_city</t>
  </si>
  <si>
    <t>template_label_country</t>
  </si>
  <si>
    <t>template_label_gps_coordinates</t>
  </si>
  <si>
    <t>template_label_automatic_geolocation</t>
  </si>
  <si>
    <t>template_label_b2_practices_policies_and_future_initiatives_for_transitioning_towards_a_more_sustainable_economy</t>
  </si>
  <si>
    <t>template_label_has_the_undertaking_put_in_place_specific_practices_policies_and_or_future</t>
  </si>
  <si>
    <t>template_label_sustainability_issues_addressed_by_a_practice_policy_and_or_future_initiatives_put_in_place</t>
  </si>
  <si>
    <t>template_label_undertaking_has_a_practice_policy_and_or_future_initiative_that_is_publicly_available</t>
  </si>
  <si>
    <t>template_label_undertaking_has_set_a_target_which_is_related_to_a_policy</t>
  </si>
  <si>
    <t>template_label_climate_change</t>
  </si>
  <si>
    <t>template_label_pollution</t>
  </si>
  <si>
    <t>template_label_water_and_marine_resources</t>
  </si>
  <si>
    <t>template_label_biodiversity_and_ecosystems</t>
  </si>
  <si>
    <t>template_label_circular_economy</t>
  </si>
  <si>
    <t>template_label_own_workforce</t>
  </si>
  <si>
    <t>template_label_workers_in_the_value_chain</t>
  </si>
  <si>
    <t>template_label_affected_communities</t>
  </si>
  <si>
    <t>template_label_consumers_and_endusers</t>
  </si>
  <si>
    <t>template_label_business_conduct</t>
  </si>
  <si>
    <t>template_label_b2_cooperative_specific_disclosures</t>
  </si>
  <si>
    <t>template_label_effective_participation_of_workers_users_or_other_interested_parties_or_communities_in_governance</t>
  </si>
  <si>
    <t>template_label_financial_investment_in_the_capital_or_assets_of_social_economy_entities</t>
  </si>
  <si>
    <t>template_label_limits_to_the_distribution_of_profits</t>
  </si>
  <si>
    <t>template_label_c2_description_of_practices_policies_and_future_initiatives_for_transitioning_towards_a_more_sustainable_economy</t>
  </si>
  <si>
    <t>template_label_description_of_a_practice_policy_and_or_future_initiative_towards_a_more_sustainable_future</t>
  </si>
  <si>
    <t>template_label_description_of_target_related_to_a_policy</t>
  </si>
  <si>
    <t>template_label_most_senior_level_accountable_for_implementing_practices_policies_and_or_future_initiatives</t>
  </si>
  <si>
    <t>template_label_c1_strategy_business_model_and_sustainability_related_initiatives</t>
  </si>
  <si>
    <t>template_label_description_of_significant_groups_of_products_and_or_services_offered</t>
  </si>
  <si>
    <t>template_label_description_of_significant_market_the_undertaking_operates_in</t>
  </si>
  <si>
    <t>template_label_has_the_strategy_key_elements_that_relate_to_or_affect_sustainability_issues</t>
  </si>
  <si>
    <t>template_label_description_of_those_key_elements_in_the_strategy_that_relate_or_affect_sustainability_issues</t>
  </si>
  <si>
    <t>template_label_disclosure_of_any_other_general_and_or_entity_specific_information_on_the_reporting_period</t>
  </si>
  <si>
    <t>template_label_b3_total_energy_consumption</t>
  </si>
  <si>
    <t>template_label_total_energy_consumption</t>
  </si>
  <si>
    <t>template_label_b3_breakdown_of_energy_consumption</t>
  </si>
  <si>
    <t>template_label_has_the_undertaking_obtained_the_necessary_information_to_provide_an_energy_consumption_breakdown</t>
  </si>
  <si>
    <t>template_label_renewable</t>
  </si>
  <si>
    <t>template_label_non_renewable</t>
  </si>
  <si>
    <t>template_label_total_renewable_and_nonrenewable</t>
  </si>
  <si>
    <t>template_label_electricity</t>
  </si>
  <si>
    <t>template_label_selfgenerated_electricity</t>
  </si>
  <si>
    <t>template_label_fuels</t>
  </si>
  <si>
    <t>template_label_b3_estimated_greenhouse_gas_emissions</t>
  </si>
  <si>
    <t>template_label_c3_ghg_reduction_targets</t>
  </si>
  <si>
    <t>template_label_has_the_undertaking_has_established_ghg_emission_reduction_targets</t>
  </si>
  <si>
    <t>template_label_current_reporting_period</t>
  </si>
  <si>
    <t>template_label_base_year</t>
  </si>
  <si>
    <t>template_label_target_year</t>
  </si>
  <si>
    <t>template_label_percentage_reduction_from_base_year</t>
  </si>
  <si>
    <t>template_label_year_date</t>
  </si>
  <si>
    <t>template_label_gross_scope_1_ghg_emissions</t>
  </si>
  <si>
    <t>template_label_gross_scope_2_location_based_ghg_emissions</t>
  </si>
  <si>
    <t>template_label_gross_scope_2_market_based_ghg_emissions</t>
  </si>
  <si>
    <t>template_label_total_scope_1_and_scope_2_ghg_emissions_location_based</t>
  </si>
  <si>
    <t>template_label_total_scope_1_and_scope_2_ghg_emissions_market_based</t>
  </si>
  <si>
    <t>template_label_is_the_undertaking_disclosing_entity_specific_information_on_scope_3_emissions</t>
  </si>
  <si>
    <t>template_label_1_purchased_goods_and_services</t>
  </si>
  <si>
    <t>template_label_2_capital_goods</t>
  </si>
  <si>
    <t>template_label_3_fuel__and_energy_related_activities</t>
  </si>
  <si>
    <t>template_label_4_upstream_transportation_and_distribution</t>
  </si>
  <si>
    <t>template_label_5_waste_generated_in_operations</t>
  </si>
  <si>
    <t>template_label_6_business_travel</t>
  </si>
  <si>
    <t>template_label_7_employee_commuting</t>
  </si>
  <si>
    <t>template_label_8_upstream_leased_assets</t>
  </si>
  <si>
    <t>template_label_9_downstream_transportation_and_distribution</t>
  </si>
  <si>
    <t>template_label_10_processing_of_sold_products</t>
  </si>
  <si>
    <t>template_label_11_use_of_sold_products</t>
  </si>
  <si>
    <t>template_label_12_end_of_life_treatment_of_sold_products</t>
  </si>
  <si>
    <t>template_label_13_downstream_leased_assets</t>
  </si>
  <si>
    <t>template_label_14_franchises</t>
  </si>
  <si>
    <t>template_label_15_investments</t>
  </si>
  <si>
    <t>template_label_total_scope_3_ghg_emissions</t>
  </si>
  <si>
    <t>template_label_total_scope_1_scope_2_and_scope_3_ghg_emissions_location_based</t>
  </si>
  <si>
    <t>template_label_total_scope_1_scope_2_and_scope_3_ghg_emissions_market_based</t>
  </si>
  <si>
    <t>template_label_c3_disclosure_of_list_of_main_actions_the_entity_seeks_in_order_to_achieve_its_targets</t>
  </si>
  <si>
    <t>template_label_c3_transition_plan_for_undertakings_operating_in_high_climate_impact_sectors</t>
  </si>
  <si>
    <t>template_label_is_the_undertaking_operating_in_high_impact_sectors</t>
  </si>
  <si>
    <t>template_label_status_of_implementation_of_a_transition_plan_in_relation_to_climate_change_mitigation</t>
  </si>
  <si>
    <t>template_label_description_of_a_transition_plan_for_climate_change_mitigation</t>
  </si>
  <si>
    <t>template_label_date_of_foreseen_adoption_of_transition_plan_for_undertaking_not_having_adopted_transition_plan_yet</t>
  </si>
  <si>
    <t>template_label_year</t>
  </si>
  <si>
    <t>template_label_month</t>
  </si>
  <si>
    <t>template_label_day</t>
  </si>
  <si>
    <t>template_label_b3_greenhouse_gas_emission_intensity_per_turnover</t>
  </si>
  <si>
    <t>template_label_scope_1_and_scope_2_ghg_emissions_intensity_location_based</t>
  </si>
  <si>
    <t>template_label_scope_1_and_scope_2_ghg_emissions_intensity_market_based</t>
  </si>
  <si>
    <t>template_label_total_scope_1_scope_2_and_scope_3_ghg_emissions_intensity_location_based</t>
  </si>
  <si>
    <t>template_label_total_scope_1_scope_2_and_scope_3_ghg_emissions_intensity_market_based</t>
  </si>
  <si>
    <t>template_label_b4_pollution_of_air_water_and_soil</t>
  </si>
  <si>
    <t>template_label_required_by_law_or_other_national_regulations_to_report_to_competent_authorities_its_emissions_of_pollutants</t>
  </si>
  <si>
    <t>template_label_is_this_disclosure_already_publicly_available</t>
  </si>
  <si>
    <t>template_label_please_provide_the_relevant_url_link_or_hyperlink_of_where_this_information_is_reported</t>
  </si>
  <si>
    <t>template_label_please_select_the_unit_used_for_reporting_the_amount</t>
  </si>
  <si>
    <t>template_label_row_id</t>
  </si>
  <si>
    <t>template_label_pollutant</t>
  </si>
  <si>
    <t>template_label_emission_to_air</t>
  </si>
  <si>
    <t>template_label_emission_to_water</t>
  </si>
  <si>
    <t>template_label_emission_to_soil</t>
  </si>
  <si>
    <t>template_label_b5_sites_in_biodiversity_sensitive_areas</t>
  </si>
  <si>
    <t>template_label_does_the_undertaking_have_sites_that_are_located_in_or_near_biodiversity_sensitive_areas</t>
  </si>
  <si>
    <t>template_label_please_select_the_unit_used_for_the_area</t>
  </si>
  <si>
    <t>template_label_related_site_id</t>
  </si>
  <si>
    <t>template_label_site_location_in_near_a_biodiversity_area</t>
  </si>
  <si>
    <t>template_label_area_hectares_or_m2</t>
  </si>
  <si>
    <t>template_label_site_located_in_a_biodiversity_sensitive_area</t>
  </si>
  <si>
    <t>template_label_site_located_near_a_biodiversity_sensitive_area</t>
  </si>
  <si>
    <t>template_label_b5_biodiversity_land_use</t>
  </si>
  <si>
    <t>template_label_land_use_type</t>
  </si>
  <si>
    <t>template_label_area</t>
  </si>
  <si>
    <t>template_label_total_sealed_area</t>
  </si>
  <si>
    <t>template_label_total_nature_oriented_area_on_site</t>
  </si>
  <si>
    <t>template_label_total_nature_oriented_area_off_site</t>
  </si>
  <si>
    <t>template_label_total_use_of_land</t>
  </si>
  <si>
    <t>template_label_b6_water_withdrawal</t>
  </si>
  <si>
    <t>template_label_total_amount_of_water_withdrawn_from_all_sites</t>
  </si>
  <si>
    <t>template_label_amount_of_water_withdrawn_at_sites_located_in_areas_of_high_water_stress</t>
  </si>
  <si>
    <t>template_label_b6_water_consumption</t>
  </si>
  <si>
    <t>template_label_does_the_undertaking_have_production_processes_in_place_which_significantly_consume_water</t>
  </si>
  <si>
    <t>template_label_water_discharge_from_undertaking_production_processes</t>
  </si>
  <si>
    <t>template_label_total_water_consumption</t>
  </si>
  <si>
    <t>template_label_b7_description_of_circular_economy_principles</t>
  </si>
  <si>
    <t>template_label_undertaking_applies_circular_economy_principles</t>
  </si>
  <si>
    <t>template_label_description_of_how_it_applies_these_principles</t>
  </si>
  <si>
    <t>template_label_b7_waste_generated</t>
  </si>
  <si>
    <t>template_label_type_of_waste</t>
  </si>
  <si>
    <t>template_label_unit_of_measurement</t>
  </si>
  <si>
    <t>template_label_waste_diverted_to_recycle_or_reuse</t>
  </si>
  <si>
    <t>template_label_waste_directed_to_disposal</t>
  </si>
  <si>
    <t>template_label_total_waste_recycled_reused_and_directed_to_disposal</t>
  </si>
  <si>
    <t>template_label_total_hazardous_waste_generated_mass</t>
  </si>
  <si>
    <t>template_label_total_amount_of_waste_generated</t>
  </si>
  <si>
    <t>template_label_total_non_hazardous_waste_generated_mass</t>
  </si>
  <si>
    <t>template_label_total_waste_generated_mass</t>
  </si>
  <si>
    <t>template_label_total_hazardous_waste_generated_volume</t>
  </si>
  <si>
    <t>template_label_cubic_meters</t>
  </si>
  <si>
    <t>template_label_total_non_hazardous_waste_generated_volume</t>
  </si>
  <si>
    <t>template_label_total_waste_generated_volume</t>
  </si>
  <si>
    <t>template_label_b7_annual_mass_flow_of_relevant_materials_used</t>
  </si>
  <si>
    <t>template_label_name_of_the_key_material</t>
  </si>
  <si>
    <t>template_label_mass_volume</t>
  </si>
  <si>
    <t>template_label_total_annual_mass_flow_of_relevant_materials_used_mass</t>
  </si>
  <si>
    <t>template_label_kilograms</t>
  </si>
  <si>
    <t>template_label_total_annual_mass_flow_of_relevant_materials_used_volume</t>
  </si>
  <si>
    <t>template_label_c4_climate_risks</t>
  </si>
  <si>
    <t>template_label_has_the_undertaking_identified_climate_related_hazards_and_climate_related_transition_events</t>
  </si>
  <si>
    <t>template_label_description_of_climate_related_hazards_and_climate_related_transition_events</t>
  </si>
  <si>
    <t>template_label_disclosure_of_how_it_has_assessed_the_exposure_and_sensitivity_of_its_assets</t>
  </si>
  <si>
    <t>template_label_time_horizons_of_any_climate_related_hazards_and_transition_events_identified</t>
  </si>
  <si>
    <t>template_label_disclosure_of_whether_it_has_undertaken_climate_change_adaptation_actions</t>
  </si>
  <si>
    <t>template_label_potential_adverse_effects_of_climate_risks</t>
  </si>
  <si>
    <t>template_label_disclosure_of_any_other_environmental_and_or_entity_specific_environmental_disclosures</t>
  </si>
  <si>
    <t>template_label_employee_counting_methodology_for_the_disclosures_below_headcount_full_time_equivalent</t>
  </si>
  <si>
    <t>template_label_employee_counting_methodology_for_the_disclosures_below_period</t>
  </si>
  <si>
    <t>template_label_b8_workforce_general_characteristics_type_of_contract</t>
  </si>
  <si>
    <t>template_label_type_of_contract</t>
  </si>
  <si>
    <t>template_label_permanent_contract</t>
  </si>
  <si>
    <t>template_label_temporary_contract</t>
  </si>
  <si>
    <t>template_label_total_employees</t>
  </si>
  <si>
    <t>template_label_b8_workforce_general_characteristics_gender</t>
  </si>
  <si>
    <t>template_label_gender</t>
  </si>
  <si>
    <t>template_label_male</t>
  </si>
  <si>
    <t>template_label_female</t>
  </si>
  <si>
    <t>template_label_other</t>
  </si>
  <si>
    <t>template_label_not_reported</t>
  </si>
  <si>
    <t>template_label_b8_workforce_general_characteristics_country_of_employment</t>
  </si>
  <si>
    <t>template_label_country_of_employment_contract</t>
  </si>
  <si>
    <t>template_label_b8_workforce_general_characteristics_turnover_rate</t>
  </si>
  <si>
    <t>template_label_number_of_employees_who_left_during_the_reporting_period</t>
  </si>
  <si>
    <t>template_label_number_of_employees_at_the_beginning_of_the_reporting_period</t>
  </si>
  <si>
    <t>template_label_number_of_employees_at_the_end_of_the_reporting_period</t>
  </si>
  <si>
    <t>template_label_employee_turnover_rate_in_the_reporting_period</t>
  </si>
  <si>
    <t>template_label_b9_workforce_health_and_safety</t>
  </si>
  <si>
    <t>template_label_number_of_recordable_work_related_accidents_in_the_reporting_period</t>
  </si>
  <si>
    <t>template_label_number_of_hours_worked_by_one_fulltime_employee_in_the_reporting_period</t>
  </si>
  <si>
    <t>template_label_total_number_of_hours_worked_in_a_year_by_all_employees_in_the_reporting_period</t>
  </si>
  <si>
    <t>template_label_rate_of_recordable_work_related_accidents_in_the_reporting_period</t>
  </si>
  <si>
    <t>template_label_number_of_fatalities_as_a_result_of_work_related_injuries_and_work_related_ill_health</t>
  </si>
  <si>
    <t>template_label_b10_workforce_remuneration_collective_bargaining_and_training</t>
  </si>
  <si>
    <t>template_label_employees_receive_pay_that_is_equal_or_above_applicable_minimum_wage</t>
  </si>
  <si>
    <t>template_label_average_gross_hourly_pay_level_of_male_employees</t>
  </si>
  <si>
    <t>template_label_average_gross_hourly_pay_level_of_female_employees</t>
  </si>
  <si>
    <t>template_label_percentage_gap_in_pay_between_the__undertakings_female_and_male_employees</t>
  </si>
  <si>
    <t>template_label_number_of_employees_covered_by_collective_bargaining_agreements</t>
  </si>
  <si>
    <t>template_label_percentage_of_employees_covered_by_collective_bargaining_agreements</t>
  </si>
  <si>
    <t>template_label_number_of_annual_training_hours_per_employee_during_the_reporting_period</t>
  </si>
  <si>
    <t>template_label_average_number_of_annual_training_hours_per_employee</t>
  </si>
  <si>
    <t>template_label_c5_additional_workforce_characteristics</t>
  </si>
  <si>
    <t>template_label_number_of_male_employees_at_management_level</t>
  </si>
  <si>
    <t>template_label_number_of_female_employees_at_management_level</t>
  </si>
  <si>
    <t>template_label_female_to_male_ratio_at_management_level_for_the_reporting_period</t>
  </si>
  <si>
    <t>template_label_total_self_employed_workers_without_personnel_that_are_working_exclusively_for_the_undertaking</t>
  </si>
  <si>
    <t>template_label_total_temporary_workers_provided_by_undertakings_primarily_engaged_in_employment_activities</t>
  </si>
  <si>
    <t>template_label_c6_additional_own_workforce_information_human_rights_policies_and_processes</t>
  </si>
  <si>
    <t>template_label_does_the_undertaking_have_a_code_of_conduct_or_human_rights_policy_for_its_own_workforce</t>
  </si>
  <si>
    <t>template_label_if_yes_does_this_cover</t>
  </si>
  <si>
    <t>template_label_child_labour</t>
  </si>
  <si>
    <t>template_label_forced_labour</t>
  </si>
  <si>
    <t>template_label_human_trafficking</t>
  </si>
  <si>
    <t>template_label_discrimination</t>
  </si>
  <si>
    <t>template_label_accident_prevention</t>
  </si>
  <si>
    <t>template_label_other_if_yes_specify</t>
  </si>
  <si>
    <t>template_label_specify_other_types_of_content_covered_by_the_code_of_conduct_or_human_rights_policy</t>
  </si>
  <si>
    <t>template_label_does_the_undertaking_have_a_complaint_handling_mechanism_for_its_own_workforce</t>
  </si>
  <si>
    <t>template_label_c7_severe_negative_human_rights_incidents</t>
  </si>
  <si>
    <t>template_label_does_the_undertaking_have_confirmed_incidents_in_its_own_workforce</t>
  </si>
  <si>
    <t>template_label_if_yes_are_incidents_related_to</t>
  </si>
  <si>
    <t>template_label_specify_other_human_rights_related_to_the_confirmed_incidents</t>
  </si>
  <si>
    <t>template_label_description_of_actions_taken_to_address_the_confirmed_incidents</t>
  </si>
  <si>
    <t>template_label_is_the_undertaking_aware_of_any_confirmed_incidents_involving_workers</t>
  </si>
  <si>
    <t>template_label_specification_of_any_confirmed_incident_involving_workers</t>
  </si>
  <si>
    <t>template_label_disclosure_of_any_other_social_and_or_entity_specific_social_disclosures</t>
  </si>
  <si>
    <t>template_label_b11_convictions_and_fines_for_corruption_and_bribery</t>
  </si>
  <si>
    <t>template_label_has_the_undertaking_incurred_in_convictions_and_fines_in_the_reporting_period</t>
  </si>
  <si>
    <t>template_label_total_number_of_convictions_for_the_violation_of_anti_corruption_and_anti_bribery_laws</t>
  </si>
  <si>
    <t>template_label_total_amount_of_fines_for_the_violation_of_anti_corruption_and_anti_bribery_laws</t>
  </si>
  <si>
    <t>template_label_c8_revenues_from_certain_sectors</t>
  </si>
  <si>
    <t>template_label_is_the_undertaking_deriving_revenues_from_one_of_the_activities_listed_below</t>
  </si>
  <si>
    <t>template_label_monetary_amount_in</t>
  </si>
  <si>
    <t>template_label_revenue_derived_from_controversial_weapons</t>
  </si>
  <si>
    <t>template_label_revenue_derived_from_cultivation_and_production_of_tobacco</t>
  </si>
  <si>
    <t>template_label_revenue_derived_from_coal</t>
  </si>
  <si>
    <t>template_label_revenue_derived_from_oil</t>
  </si>
  <si>
    <t>template_label_revenue_derived_from_gas</t>
  </si>
  <si>
    <t>template_label_total_revenues_derived_from_fossil_fuel_sector</t>
  </si>
  <si>
    <t>template_label_revenue_derived_from_chemicals_production</t>
  </si>
  <si>
    <t>template_label_c8_exclusion_from_eu_reference_benchmarks</t>
  </si>
  <si>
    <t>template_label_undertakings_are_excluded_from_the_eu_paris_aligned_benchmarks_if_they_derive</t>
  </si>
  <si>
    <t>template_label_1_percent_or_more_of_their_revenues_from_exploration_mining_extraction_distribution_or_refining_of_hard_coal_and_lignite</t>
  </si>
  <si>
    <t>template_label_10_percent_or_more_of_their_revenues_from_the_exploration_extraction_distribution_or_refining_of_oil_fuels</t>
  </si>
  <si>
    <t>template_label_50_percent_or_more_of_their_revenues_from_the_exploration_extraction_manufacturing_or_distribution_of_gaseous_fuels</t>
  </si>
  <si>
    <t>template_label_50_percent_or_more_of_their_revenues_from_electricity_generation</t>
  </si>
  <si>
    <t>template_label_none_of_the_above</t>
  </si>
  <si>
    <t>template_label_undertakings_are_excluded_from_any_eu_reference_benchmarks_that_are_aligned_with_the_paris_agreement</t>
  </si>
  <si>
    <t>template_label_c9_gender_diversity_ratio_in_the_governance_body</t>
  </si>
  <si>
    <t>template_label_does_the_undertaking_have_a_governance_body_in_place</t>
  </si>
  <si>
    <t>template_label_number_of_female_board_members_at_the_end_of_the_reporting_period</t>
  </si>
  <si>
    <t>template_label_number_of_male_board_members_at_the_end_of_the_reporting_period</t>
  </si>
  <si>
    <t>template_label_gender_diversity_ratio_in_governance_body</t>
  </si>
  <si>
    <t>template_label_disclosure_of_any_other_governance_and_or_entity_specific_governance_disclosures</t>
  </si>
  <si>
    <t>template_ending_date_display</t>
  </si>
  <si>
    <t>template_reporting_period_display</t>
  </si>
  <si>
    <t>B1 - List of subsidiaries</t>
  </si>
  <si>
    <t>B1 - Disclosure of sustainability-related certification(s) or label(s)</t>
  </si>
  <si>
    <t>B1 - List of site(s)</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</si>
  <si>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</si>
  <si>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</si>
  <si>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[If applicable linked with B2]</t>
  </si>
  <si>
    <t>template_label_if_applicable_linked_to_b2</t>
  </si>
  <si>
    <t>template_label_description_of_main_business_relationships</t>
  </si>
  <si>
    <t>template_label_from</t>
  </si>
  <si>
    <t>template_label_to</t>
  </si>
  <si>
    <t>template_label_at</t>
  </si>
  <si>
    <t>from</t>
  </si>
  <si>
    <t>at</t>
  </si>
  <si>
    <t>Starting date string:</t>
  </si>
  <si>
    <t>template_starting_date_display</t>
  </si>
  <si>
    <t>Amount of waste recycled reused and directed to disposal</t>
  </si>
  <si>
    <t>Does the undertaking the undertaking operate in a sector using significant material flows (for example manufacturing construction packaging or others)?</t>
  </si>
  <si>
    <t>May (optional)</t>
  </si>
  <si>
    <t>template_label_may_not_headline</t>
  </si>
  <si>
    <t>Basis for Preparation and other undertaking's general information</t>
  </si>
  <si>
    <t>List of subsidiaries</t>
  </si>
  <si>
    <t>Disclosure of sustainability-related certification(s) or label(s)</t>
  </si>
  <si>
    <t>List of site(s)</t>
  </si>
  <si>
    <t>Practices, policies and future initiatives for transitioning towards a more sustainable economy</t>
  </si>
  <si>
    <t>Cooperative specific disclosures</t>
  </si>
  <si>
    <t>Total Energy Consumption (in MWh)</t>
  </si>
  <si>
    <t>Breakdown of energy consumption (in MWh)</t>
  </si>
  <si>
    <t>Estimated Greenhouse Gas Emissions considering the GHG Protocol Version 2004 (in tCO2e)</t>
  </si>
  <si>
    <t>Greenhouse gas emission intensity per turnover</t>
  </si>
  <si>
    <t>Sites in biodiversity sensitive areas</t>
  </si>
  <si>
    <t>Biodiversity - Land-use</t>
  </si>
  <si>
    <t>Water Withdrawal</t>
  </si>
  <si>
    <t>Water Consumption</t>
  </si>
  <si>
    <t>Description of circular economy principles</t>
  </si>
  <si>
    <t>Waste generated</t>
  </si>
  <si>
    <t>Annual mass-flow of relevant materials used</t>
  </si>
  <si>
    <t>Country of employment</t>
  </si>
  <si>
    <t>Turnover rate</t>
  </si>
  <si>
    <t>· B10 - Workforce – Remuneration, collective bargaining and training</t>
  </si>
  <si>
    <t>GHG reduction targets (in tC02e)</t>
  </si>
  <si>
    <t>Disclosure of list of main actions the entity seeks in order  to achieve its targets</t>
  </si>
  <si>
    <t>Transition plan for undertakings operating in high climate impact sectors</t>
  </si>
  <si>
    <t>Exclusion from EU reference benchmarks</t>
  </si>
  <si>
    <t>· Disclosure of any other environmental and/or entity specific environmental disclosures</t>
  </si>
  <si>
    <t>template_label_information_on_the_report_necessary_for_xbrl_validation</t>
  </si>
  <si>
    <t>template_label_overall_validation_status_validation</t>
  </si>
  <si>
    <t>template_label_table_of_contents_validation</t>
  </si>
  <si>
    <t>template_label_contents_grouping_follows_templates_framework_validation</t>
  </si>
  <si>
    <t>template_label_specific_content_validation_status_validation</t>
  </si>
  <si>
    <t>template_label_general_information_validation</t>
  </si>
  <si>
    <t>template_label_information_on_previous_reporting_period_validation</t>
  </si>
  <si>
    <t>template_label_basic_module_validation</t>
  </si>
  <si>
    <t>template_label_b1_basis_for_preparation_validation</t>
  </si>
  <si>
    <t>template_label_basis_for_preparation_and_other_undertakings_general_information_validation</t>
  </si>
  <si>
    <t>template_label_list_of_subsidiaries_validation</t>
  </si>
  <si>
    <t>template_label_disclosure_of_sustainability_related_certifications_or_labels_validation</t>
  </si>
  <si>
    <t>template_label_list_of_sites_validation</t>
  </si>
  <si>
    <t>template_label_b2_practices_policies_and_future_initiatives_for_transitioning_towards_a_more_sustainable_economy_validation</t>
  </si>
  <si>
    <t>template_label_practices_policies_and_future_initiatives_for_transitioning_towards_a_more_sustainable_economy_validation</t>
  </si>
  <si>
    <t>template_label_cooperative_specific_disclosures_validation</t>
  </si>
  <si>
    <t>template_label_environmental_disclosures_validation</t>
  </si>
  <si>
    <t>template_label_b3_energy_and_greenhouse_gas_emissions_validation</t>
  </si>
  <si>
    <t>template_label_total_energy_consumption_in_mwh_validation</t>
  </si>
  <si>
    <t>template_label_breakdown_of_energy_consumption_in_mwh_validation</t>
  </si>
  <si>
    <t>template_label_estimated_greenhouse_gas_emissions_considering_the_ghg_protocol_version_2004_in_tco2e_validation</t>
  </si>
  <si>
    <t>template_label_greenhouse_gas_emission_intensity_per_turnover_validation</t>
  </si>
  <si>
    <t>template_label_b4_pollution_of_air_water_and_soil_validation</t>
  </si>
  <si>
    <t>template_label_b5_biodiversity_validation</t>
  </si>
  <si>
    <t>template_label_sites_in_biodiversity_sensitive_areas_validation</t>
  </si>
  <si>
    <t>template_label_biodiversity_land_use_validation</t>
  </si>
  <si>
    <t>template_label_b6_water_validation</t>
  </si>
  <si>
    <t>template_label_water_withdrawal_validation</t>
  </si>
  <si>
    <t>template_label_water_consumption_validation</t>
  </si>
  <si>
    <t>template_label_b7_resource_use_circular_economy_and_waste_management_validation</t>
  </si>
  <si>
    <t>template_label_description_of_circular_economy_principles_validation</t>
  </si>
  <si>
    <t>template_label_waste_generated_validation</t>
  </si>
  <si>
    <t>template_label_annual_mass_flow_of_relevant_materials_used_validation</t>
  </si>
  <si>
    <t>template_label_social_disclosures_validation</t>
  </si>
  <si>
    <t>template_label_b8_workforce_general_characteristics_validation</t>
  </si>
  <si>
    <t>template_label_type_of_contract_validation</t>
  </si>
  <si>
    <t>template_label_gender_validation</t>
  </si>
  <si>
    <t>template_label_country_of_employment_validation</t>
  </si>
  <si>
    <t>template_label_turnover_rate_validation</t>
  </si>
  <si>
    <t>template_label_b9_workforce_health_and_safety_validation</t>
  </si>
  <si>
    <t>template_label_b10_workforce_remuneration_collective_bargaining_and_training_validation</t>
  </si>
  <si>
    <t>template_label_governance_disclosures_validation</t>
  </si>
  <si>
    <t>template_label_b11_convictions_and_fines_for_corruption_and_bribery_validation</t>
  </si>
  <si>
    <t>template_label_comprehensive_module_validation</t>
  </si>
  <si>
    <t>template_label_c1_strategy_business_model_and_sustainability_related_initiatives_validation</t>
  </si>
  <si>
    <t>template_label_c2_description_of_practices_policies_and_future_initiatives_for_transitioning_towards_a_more_sustainable_economy_validation</t>
  </si>
  <si>
    <t>template_label_c3_ghg_reduction_targets_and_climate_transition_validation</t>
  </si>
  <si>
    <t>template_label_ghg_reduction_targets_in_tc02e_validation</t>
  </si>
  <si>
    <t>template_label_disclosure_of_list_of_main_actions_the_entity_seeks_in_order_to_achieve_its_targets_validation</t>
  </si>
  <si>
    <t>template_label_transition_plan_for_undertakings_operating_in_high_climate_impact_sectors_validation</t>
  </si>
  <si>
    <t>template_label_c4_climate_risks_validation</t>
  </si>
  <si>
    <t>template_label_c5_additional_general_workforce_characteristics_validation</t>
  </si>
  <si>
    <t>template_label_c6_additional_own_workforce_information_human_rights_policies_and_processes_validation</t>
  </si>
  <si>
    <t>template_label_c7_severe_negative_human_rights_incidents_validation</t>
  </si>
  <si>
    <t>template_label_c8_revenues_from_certain_sectors_and_exclusion_from_eu_reference_benchmarks_validation</t>
  </si>
  <si>
    <t>template_label_revenues_from_certain_sectors_validation</t>
  </si>
  <si>
    <t>template_label_exclusion_from_eu_reference_benchmarks_validation</t>
  </si>
  <si>
    <t>template_label_c9_gender_diversity_ratio_in_the_governance_body_validation</t>
  </si>
  <si>
    <t>template_label_additional_disclosures_validation</t>
  </si>
  <si>
    <t>template_label_disclosure_of_any_other_general_and_or_entity_specific_information_on_the_reporting_period_validation</t>
  </si>
  <si>
    <t>template_label_disclosure_of_any_other_environmental_and_or_entity_specific_environmental_disclosures_validation</t>
  </si>
  <si>
    <t>template_label_disclosure_of_any_other_social_and_or_entity_specific_social_disclosures_validation</t>
  </si>
  <si>
    <t>template_label_disclosure_of_any_other_governance_and_or_entity_specific_governance_disclosures_validation</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</si>
  <si>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</si>
  <si>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template_label_version</t>
  </si>
  <si>
    <t>template_label_publication_date</t>
  </si>
  <si>
    <t>template_label_taxonomy_entry_point</t>
  </si>
  <si>
    <t>template_label_select_template_display_language</t>
  </si>
  <si>
    <t>template_label_vsme_digital_template</t>
  </si>
  <si>
    <t>template_label_the_purpose_of_this_digital_template_is_to_illustrate_how_vsme_reporting_can_be_implemented_in_a_digital_template</t>
  </si>
  <si>
    <t>template_label_how_to_use_it</t>
  </si>
  <si>
    <t>template_label_0_provide_information_that_is_mandatory_in_order_to_generate_the_vsme_and_xbrl_report</t>
  </si>
  <si>
    <t>template_label_1_fill_in_the_disclosures_on_the_four_worksheets</t>
  </si>
  <si>
    <t>template_label_cell_background_color_index</t>
  </si>
  <si>
    <t>template_label_general_principles</t>
  </si>
  <si>
    <t>template_label_indicates_that_the_disclosure_is_from_the_general_principles_of_the_vsme</t>
  </si>
  <si>
    <t>template_label_basic_module</t>
  </si>
  <si>
    <t>template_label_indicates_that_the_disclosure_is_from_the_vsme_basic_module</t>
  </si>
  <si>
    <t>template_label_comprehensive_module</t>
  </si>
  <si>
    <t>template_label_indicates_that_the_disclosure_is_from_the_vsme_comprehensive_module</t>
  </si>
  <si>
    <t>template_label_indicates_that_the_cell_is_automatically_calculated_and_that_no_data_entry_is_required</t>
  </si>
  <si>
    <t>template_label_indicates_that_no_data_entry_is_required_unless_certain_logics_are_selected_in_the_disclosure_itself</t>
  </si>
  <si>
    <t>template_label_indicates_that_either_data_entry_is_incorrect_in_terms_of_format_or_that_certain_information</t>
  </si>
  <si>
    <t>template_label_indicates_that_data_entry_is_ok_and_the_undertaking_can_proceed_to_the_next_disclosure</t>
  </si>
  <si>
    <t>template_label_no_value_can_be_entered_in_the_cell</t>
  </si>
  <si>
    <t>template_label_lists_can_be_expanded_using_the_plus_button_on_the_left</t>
  </si>
  <si>
    <t>template_label_efrag_is_funded_by_the_european_union_through_the_single_market_programme</t>
  </si>
  <si>
    <t>template_label_reproduction_and_use_rights_are_strictly_limited</t>
  </si>
  <si>
    <t>template_label_2_find_more_information_on_the_actual_disclosure_requirements_in_the_vsme_standard</t>
  </si>
  <si>
    <t>template_label_4_validate_the_data_entered_by_checking_the_validation_status</t>
  </si>
  <si>
    <t>template_label_5_convert_this_template_to_an_inline_xbrl_report</t>
  </si>
  <si>
    <t>template_label_6_the_undertaking_may_also_upload_the_report_to_public_repositories_or_a_webpage</t>
  </si>
  <si>
    <t>template_label_3_for_open_tables_like_the_list_of_subsidizers_sites_please_expand_the_groups_by_clicking_the_plus</t>
  </si>
  <si>
    <t>template_label_indicates_that_the_datapoint_often_a_condition_will_not_be_included_in_the_vsme_and_digital_xbrl_report</t>
  </si>
  <si>
    <t>template_label_validation_missing_value_error_velue_inconsistency_invalid_url</t>
  </si>
  <si>
    <t>template_label_validation_ok</t>
  </si>
  <si>
    <t>Total employees (linked to B1)</t>
  </si>
  <si>
    <t>· child labour</t>
  </si>
  <si>
    <t>· forced labour</t>
  </si>
  <si>
    <t>· human trafficking</t>
  </si>
  <si>
    <t>· discrimination</t>
  </si>
  <si>
    <t>· accident prevention</t>
  </si>
  <si>
    <t>· other? ( if yes specify)</t>
  </si>
  <si>
    <t>template_label_amount_in</t>
  </si>
  <si>
    <t>amount in</t>
  </si>
  <si>
    <t>Total amount of fines for the violation of anti-corruption and anti-bribery laws</t>
  </si>
  <si>
    <t>Energy Consumption per Hour in MWh for Solid Fuels:</t>
  </si>
  <si>
    <t>Energy Consumption per Hour in MWh for Liquid Fuels:</t>
  </si>
  <si>
    <t>Energy [MWh] = Mass [t] * NCV [MWh/t]</t>
  </si>
  <si>
    <t>Mass [t] = Volume [L] * Density [t/L]</t>
  </si>
  <si>
    <t>Energy [MWh] = Mass [t] * [MWh/t]</t>
  </si>
  <si>
    <t>Energy Consumption per Hour in MWh for Gaseous Fuels:</t>
  </si>
  <si>
    <t>Usage of Unit of Measurement Converter</t>
  </si>
  <si>
    <t>Steps to follow for the Mass table:</t>
  </si>
  <si>
    <t>The steps to follow for the other tables (Volume, Energy Consumption, Density and NCV) are the same of the Mass table.</t>
  </si>
  <si>
    <t>Below are specified all the Units of measurement conversions of each table.</t>
  </si>
  <si>
    <t>Gg – Gigagram</t>
  </si>
  <si>
    <t>t – tonne</t>
  </si>
  <si>
    <t>Kg – Kilogram</t>
  </si>
  <si>
    <t>g – gram</t>
  </si>
  <si>
    <t>m³ – cubic meters</t>
  </si>
  <si>
    <t>L – Liter</t>
  </si>
  <si>
    <t>TJ – Terajoule</t>
  </si>
  <si>
    <t>MWh – Megawatt hours</t>
  </si>
  <si>
    <t>4. The outcome of the conversion will be displayed in the cell D6.</t>
  </si>
  <si>
    <t>2. Then in the cell B6 the amount of mass can be inserted.</t>
  </si>
  <si>
    <t>3. Finally in the cell D5 there should be the unit of measurement of interest.</t>
  </si>
  <si>
    <t>1. In the cell B5 of the table related to the Unit of measurement of Mass Converter should be inserted the Unit of measurement to convert.</t>
  </si>
  <si>
    <t>DISCLAIMER:</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</si>
  <si>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</si>
  <si>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</si>
  <si>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</si>
  <si>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7. In cell A28 is displayed the Total Energy in Mega Watt hours</t>
  </si>
  <si>
    <t>8. In cell A31 is displayed the Total Renewable Energy in Mega Watt hours</t>
  </si>
  <si>
    <t>9. In cell B31 is displayed the Total Non-renewable Energy in Mega Watt hours</t>
  </si>
  <si>
    <t>10. Further notes can be found below</t>
  </si>
  <si>
    <t>Mass [t] = Volume [m³] * Density [t/m³]</t>
  </si>
  <si>
    <t>template_label_fuel_converter</t>
  </si>
  <si>
    <t>template_label_disclaimer</t>
  </si>
  <si>
    <t>template_label_this_converter_is_intended_solely_to_illustrate_how_energy_consumption_in_mwh</t>
  </si>
  <si>
    <t>template_label_please_note_that_the_typical_values_for_net_calorific_value_and_density_are_provided_for_each_fuel_type</t>
  </si>
  <si>
    <t>template_label_indicates_that_the_cell_should_be_filled_either_by_selecting_a_value_from_the_dropdown</t>
  </si>
  <si>
    <t>template_label_fuel_type</t>
  </si>
  <si>
    <t>template_label_amount</t>
  </si>
  <si>
    <t>template_label_state_of_matter</t>
  </si>
  <si>
    <t>template_label_typical_renewable_state</t>
  </si>
  <si>
    <t>template_label_calculated_energy_in_mwh</t>
  </si>
  <si>
    <t>template_label_usage_of_fuel_converter</t>
  </si>
  <si>
    <t>template_label_2_in_cell_b9_select_the_unit_of_measurement_used</t>
  </si>
  <si>
    <t>template_label_3_in_cell_c9_select_the_amount_of_fuel_used</t>
  </si>
  <si>
    <t>template_label_4_in_cell_d9_it_is_displayed_the_state_of_matter_for_the_fuel_selected</t>
  </si>
  <si>
    <t>template_label_5_in_cell_e9_it_is_displayed_the_typical_renewability_state_for_the_fuel_selected</t>
  </si>
  <si>
    <t>template_label_6_in_cell_f9_is_displayed_the_energy_produced_in_mega_watt_hours_by_the_amount_of_fuel_specified</t>
  </si>
  <si>
    <t>template_label_7_in_cell_a28_is_displayed_the_total_energy_in_mega_watt_hours</t>
  </si>
  <si>
    <t>template_label_8_in_cell_a31_is_displayed_the_total_renewable_energy_in_mega_watt_hours</t>
  </si>
  <si>
    <t>template_label_10_further_notes_can_be_found_below</t>
  </si>
  <si>
    <t>template_label_transfer_the_total_results_to_the_b3_fuel_energy_consumption_reporting_cell</t>
  </si>
  <si>
    <t>template_label_total_energy</t>
  </si>
  <si>
    <t>template_label_total_renewable_energy</t>
  </si>
  <si>
    <t>template_label_further_notes</t>
  </si>
  <si>
    <t>template_label_the_converter_offers_the_possibility_of_calculating_simultaneously_up_to_10_different_types_of_fuel</t>
  </si>
  <si>
    <t>template_label_energy_consumption_per_hour_in_mwh_for_solid_fuels</t>
  </si>
  <si>
    <t>template_label_energy_solid_fuels</t>
  </si>
  <si>
    <t>template_label_energy_consumption_per_hour_in_mwh_for_liquid_fuels</t>
  </si>
  <si>
    <t>template_label_mass_liquid_fuels</t>
  </si>
  <si>
    <t>template_label_energy_liquid_fuels</t>
  </si>
  <si>
    <t>template_label_energy_consumption_per_hour_in_mwh_for_gaseous_fuels</t>
  </si>
  <si>
    <t>template_label_mass_gaseous_fuels</t>
  </si>
  <si>
    <t>template_label_energy_gaseous_fuels</t>
  </si>
  <si>
    <t>template_label_additionally_users_are_encouraged_to_determine_the_renewability_status_of_each_fuel_based_on_guarantees_of_origin</t>
  </si>
  <si>
    <t>template_label_1_in_cell_a9_select_the_fuel_used_searching_for_it_or_scrolling_down_the_list_displayed_clicking_the_cell</t>
  </si>
  <si>
    <t>template_label_9_in_cell_b31_is_displayed_the_total_nonrenewable_energy_in_mega_watt_hours</t>
  </si>
  <si>
    <t>template_label_total_nonrenewable_energy</t>
  </si>
  <si>
    <t xml:space="preserve">From </t>
  </si>
  <si>
    <t>▪ Unit of measurement of Mass Converter:</t>
  </si>
  <si>
    <t>▪ Unit of measurement of Volume Converter:</t>
  </si>
  <si>
    <t>▪ Unit of measurement of Energy Converter:</t>
  </si>
  <si>
    <t>▪ Unit of measurement of Density Converter:</t>
  </si>
  <si>
    <t>▪ Unit of measurement of NCV Converter:</t>
  </si>
  <si>
    <t>template_label_unit_of_measurement_converter</t>
  </si>
  <si>
    <t>template_label_unit_of_measurement_of_mass_converter</t>
  </si>
  <si>
    <t>template_label_unit_of_measurement_of_volume_converter</t>
  </si>
  <si>
    <t>template_label_unit_of_measurement_of_energy_consumption_per_hour</t>
  </si>
  <si>
    <t>template_label_usage_of_unit_of_measurement_converter</t>
  </si>
  <si>
    <t>template_label_steps_to_follow_for_the_mass_table</t>
  </si>
  <si>
    <t>template_label_from_capital_case</t>
  </si>
  <si>
    <t>template_label_below_are_specified_all_the_units_of_measurement_conversions_of_each_table</t>
  </si>
  <si>
    <t>template_label_unit_of_measurement_of_ncv_converter</t>
  </si>
  <si>
    <t>template_label_2_then_in_the_cell_b6_the_amount_of_mass_can_be_inserted</t>
  </si>
  <si>
    <t>template_label_3_finally_in_the_cell_d5_there_should_be_the_unit_of_measurement_of_interest</t>
  </si>
  <si>
    <t>template_label_4_the_outcome_of_the_conversion_will_be_displayed_in_the_cell_d6</t>
  </si>
  <si>
    <t>template_label_the_steps_to_follow_for_the_other_tables</t>
  </si>
  <si>
    <t>template_label_1_in_the_cell_b5_of_the_table_related_to_the_unit_of_measurement_of_mass_converter</t>
  </si>
  <si>
    <t>template_label_unit_of_measurement_of_density_converter</t>
  </si>
  <si>
    <t>template_label_unit_of_measurement_of_ncv_converter_list</t>
  </si>
  <si>
    <t>template_label_unit_of_measurement_of_density_converter_list</t>
  </si>
  <si>
    <t>template_label_unit_of_measurement_of_energy_converter_list</t>
  </si>
  <si>
    <t>template_label_unit_of_measurement_of_volume_converter_list</t>
  </si>
  <si>
    <t>template_label_unit_of_measurement_of_mass_converter_list</t>
  </si>
  <si>
    <t>INCOMPLETE</t>
  </si>
  <si>
    <t>COMPLETE</t>
  </si>
  <si>
    <t>template_label_incomplete</t>
  </si>
  <si>
    <t>template_label_complete</t>
  </si>
  <si>
    <t>MISSING VALUE</t>
  </si>
  <si>
    <t>ERROR</t>
  </si>
  <si>
    <t>VALUE INCONSISTENCY</t>
  </si>
  <si>
    <t>ERROR + VALUE INCONSISTENCY</t>
  </si>
  <si>
    <t>ERROR + MISSING VALUE + VALUE INCONSISTENCY</t>
  </si>
  <si>
    <t>ERROR + MISSING VALUE</t>
  </si>
  <si>
    <t>MISSING VALUE + VALUE INCONSISTENCY</t>
  </si>
  <si>
    <t>INVALID URL</t>
  </si>
  <si>
    <t>Description of main business relationships (such as key suppliers, customers, distribution channels)</t>
  </si>
  <si>
    <t>Most senior level within its employees that is accountable for implementing the policies when this has been determined by the undertaking</t>
  </si>
  <si>
    <t>C8 – Revenues from certain activities</t>
  </si>
  <si>
    <t>template_label_missing_value</t>
  </si>
  <si>
    <t>template_label_error</t>
  </si>
  <si>
    <t>template_label_value_inconsistency</t>
  </si>
  <si>
    <t>template_label_invalid_url</t>
  </si>
  <si>
    <t>template_label_error_plus_value_inconsistency</t>
  </si>
  <si>
    <t>template_label_error_plus_missing_value_plus_value_inconsistency</t>
  </si>
  <si>
    <t>template_label_error_plus_missing_value</t>
  </si>
  <si>
    <t>template_label_missing_value_plus_value_inconsistency</t>
  </si>
  <si>
    <t>de</t>
  </si>
  <si>
    <t>lt</t>
  </si>
  <si>
    <t>pl</t>
  </si>
  <si>
    <t>pt</t>
  </si>
  <si>
    <t>es</t>
  </si>
  <si>
    <t>Any limits to the distribution of profits connected to the mutualistic nature or to the nature of the activities consisting in services of general economic interest (SGEI)</t>
  </si>
  <si>
    <t>Description of significant market(s) the undertaking operates in (e.g. B2B, wholesale, retail, countries)</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</si>
  <si>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</si>
  <si>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Main title of the report</t>
  </si>
  <si>
    <t xml:space="preserve">Sustainability Report </t>
  </si>
  <si>
    <t>Transfer the total calculated results to the B3 "Fuel Energy Consumption" reporting cell</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</si>
  <si>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</si>
  <si>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01 - WASTES RESULTING FROM EXPLORATION, MINING, QUARRYING, AND PHYSICAL AND CHEMICAL TREATMENT OF MINERALS</t>
  </si>
  <si>
    <t>02 - WASTES FROM AGRICULTURE, HORTICULTURE, AQUACULTURE, FORESTRY, HUNTING AND FISHING, FOOD PREPARATION AND PROCESSING</t>
  </si>
  <si>
    <t>03 - WASTES FROM WOOD PROCESSING AND THE PRODUCTION OF PANELS AND FURNITURE, PULP, PAPER AND CARDBOARD</t>
  </si>
  <si>
    <t>04 - WASTES FROM THE LEATHER, FUR AND TEXTILE INDUSTRIES</t>
  </si>
  <si>
    <t>05 - WASTES FROM PETROLEUM REFINING, NATURAL GAS PURIFICATION AND PYROLYTIC TREATMENT OF COAL</t>
  </si>
  <si>
    <t>06 - WASTES FROM INORGANIC CHEMICAL PROCESSES</t>
  </si>
  <si>
    <t>07 - WASTES FROM ORGANIC CHEMICAL PROCESSES</t>
  </si>
  <si>
    <t>08 - WASTES FROM THE MANUFACTURE, FORMULATION, SUPPLY AND USE (MFSU) OF COATINGS (PAINTS, VARNISHES AND VITREOUS ENAMELS), ADHESIVES, SEALANTS AND PRINTING INKS</t>
  </si>
  <si>
    <t>09 - WASTES FROM THE PHOTOGRAPHIC INDUSTRY</t>
  </si>
  <si>
    <t>10 - WASTES FROM THERMAL PROCESSES</t>
  </si>
  <si>
    <t>11 - WASTES FROM CHEMICAL SURFACE TREATMENT AND COATING OF METALS AND OTHER MATERIALS; NON-FERROUS HYDRO-METALLURGY</t>
  </si>
  <si>
    <t>12 - WASTES FROM SHAPING AND PHYSICAL AND MECHANICAL SURFACE TREATMENT OF METALS AND PLASTICS</t>
  </si>
  <si>
    <t>13 - OIL WASTES AND WASTES OF LIQUID FUELS (except edible oils, and those in chapters 05, 12 and 19)</t>
  </si>
  <si>
    <t>14 - WASTE ORGANIC SOLVENTS, REFRIGERANTS AND PROPELLANTS (except 07 and 08)</t>
  </si>
  <si>
    <t>15 - WASTE PACKAGING; ABSORBENTS, WIPING CLOTHS, FILTER MATERIALS AND PROTECTIVE CLOTHING NOT OTHERWISE SPECIFIED</t>
  </si>
  <si>
    <t>16 - WASTES NOT OTHERWISE SPECIFIED IN THE LIST</t>
  </si>
  <si>
    <t>17 - CONSTRUCTION AND DEMOLITION WASTES (INCLUDING EXCAVATED SOIL FROM CONTAMINATED SITES)</t>
  </si>
  <si>
    <t>18 - WASTES FROM HUMAN OR ANIMAL HEALTH CARE AND/OR RELATED RESEARCH (except kitchen and restaurant wastes not arising from immediate health care)</t>
  </si>
  <si>
    <t>19 - WASTES FROM WASTE MANAGEMENT FACILITIES, OFF-SITE WASTE WATER TREATMENT PLANTS AND THE PREPARATION OF WATER INTENDED FOR HUMAN CONSUMPTION AND WATER FOR INDUSTRIAL USE</t>
  </si>
  <si>
    <t>20 - MUNICIPAL WASTES (HOUSEHOLD WASTE AND SIMILAR COMMERCIAL, INDUSTRIAL AND INSTITUTIONAL WASTES) INCLUDING SEPARATELY COLLECTED FRACTIONS</t>
  </si>
  <si>
    <t>Subtitle of the report</t>
  </si>
  <si>
    <t xml:space="preserve">  01 01 - Wastes from mineral excavation</t>
  </si>
  <si>
    <t xml:space="preserve">    01 01 01 - Non-Hazardous - Wastes from mineral metalliferous excavation</t>
  </si>
  <si>
    <t xml:space="preserve">    01 01 02 - Non-Hazardous - Wastes from mineral non-metalliferous excavation</t>
  </si>
  <si>
    <t xml:space="preserve">  01 03 - Wastes from physical and chemical processing of metalliferous minerals</t>
  </si>
  <si>
    <t xml:space="preserve">    01 03 04 - Hazardous - Acid-generating tailings from processing of sulphide ore</t>
  </si>
  <si>
    <t xml:space="preserve">    01 03 05 - Hazardous - Other tailings containing hazardous substances</t>
  </si>
  <si>
    <t xml:space="preserve">    01 03 06 - Non-Hazardous - Tailings other than those mentioned in 01 03 04 and 01 03 05</t>
  </si>
  <si>
    <t xml:space="preserve">    01 03 07 - Hazardous - Other wastes containing hazardous substances from physical and chemical processing of metalliferous minerals</t>
  </si>
  <si>
    <t xml:space="preserve">    01 03 08 - Non-Hazardous - Dusty and powdery wastes other than those mentioned in 01 03 07</t>
  </si>
  <si>
    <t xml:space="preserve">    01 03 09 - Non-Hazardous - Red mud from alumina production other than the wastes mentioned in 01 03 10</t>
  </si>
  <si>
    <t xml:space="preserve">    01 03 10 - Hazardous - Red mud from alumina production containing hazardous substances other than the wastes mentioned in 01 03 07</t>
  </si>
  <si>
    <t xml:space="preserve">    01 03 99 - Non-Hazardous - Wastes not otherwise specified</t>
  </si>
  <si>
    <t xml:space="preserve">  01 04 - Wastes from physical and chemical processing of non-metalliferous minerals</t>
  </si>
  <si>
    <t xml:space="preserve">    01 04 07 - Hazardous - Wastes containing hazardous substances from physical and chemical processing of non-metalliferous minerals</t>
  </si>
  <si>
    <t xml:space="preserve">    01 04 08 - Non-Hazardous - Waste gravel and crushed rocks other than those mentioned in 01 04 07</t>
  </si>
  <si>
    <t xml:space="preserve">    01 04 09 - Non-Hazardous - Waste sand and clays</t>
  </si>
  <si>
    <t xml:space="preserve">    01 04 10 - Non-Hazardous - Dusty and powdery wastes other than those mentioned in 01 04 07</t>
  </si>
  <si>
    <t xml:space="preserve">    01 04 11 - Non-Hazardous - Wastes from potash and rock salt processing other than those mentioned in 01 04 07</t>
  </si>
  <si>
    <t xml:space="preserve">    01 04 12 - Non-Hazardous - Tailings and other wastes from washing and cleaning of minerals other than those mentioned in 01 04 07 and 01 04 11</t>
  </si>
  <si>
    <t xml:space="preserve">    01 04 13 - Non-Hazardous - Wastes from stone cutting and sawing other than those mentioned in 01 04 07</t>
  </si>
  <si>
    <t xml:space="preserve">    01 04 99 - Non-Hazardous - Wastes not otherwise specified</t>
  </si>
  <si>
    <t xml:space="preserve">  01 05 - Drilling muds and other drilling wastes</t>
  </si>
  <si>
    <t xml:space="preserve">    01 05 04 - Non-Hazardous - Freshwater drilling muds and wastes</t>
  </si>
  <si>
    <t xml:space="preserve">    01 05 05 - Hazardous - Oil-containing drilling muds and wastes</t>
  </si>
  <si>
    <t xml:space="preserve">    01 05 06 - Hazardous - Drilling muds and other drilling wastes containing hazardous substances</t>
  </si>
  <si>
    <t xml:space="preserve">    01 05 07 - Non-Hazardous - Barite-containing drilling muds and wastes other than those mentioned in 01 05 05 and 01 05 06</t>
  </si>
  <si>
    <t xml:space="preserve">    01 05 08 - Non-Hazardous - Chloride-containing drilling muds and wastes other than those mentioned in 01 05 05 and 01 05 06</t>
  </si>
  <si>
    <t xml:space="preserve">    01 05 99 - Non-Hazardous - Wastes not otherwise specified</t>
  </si>
  <si>
    <t xml:space="preserve">  02 01 - Wastes from agriculture, horticulture, aquaculture, forestry, hunting and fishing</t>
  </si>
  <si>
    <t xml:space="preserve">    02 01 01 - Non-Hazardous - Sludges from washing and cleaning</t>
  </si>
  <si>
    <t xml:space="preserve">    02 01 02 - Non-Hazardous - Animal-tissue waste</t>
  </si>
  <si>
    <t xml:space="preserve">    02 01 03 - Non-Hazardous - Plant-tissue waste</t>
  </si>
  <si>
    <t xml:space="preserve">    02 01 04 - Non-Hazardous - Waste plastics (except packaging)</t>
  </si>
  <si>
    <t xml:space="preserve">    02 01 06 - Non-Hazardous - Animal faeces, urine and manure (including spoiled straw), effluent, collected separately and treated off-site</t>
  </si>
  <si>
    <t xml:space="preserve">    02 01 07 - Non-Hazardous - Wastes from forestry</t>
  </si>
  <si>
    <t xml:space="preserve">    02 01 08 - Hazardous - Agrochemical waste containing hazardous substances</t>
  </si>
  <si>
    <t xml:space="preserve">    02 01 09 - Non-Hazardous - Agrochemical waste other than those mentioned in 02 01 08</t>
  </si>
  <si>
    <t xml:space="preserve">    02 01 10 - Non-Hazardous - Waste metal</t>
  </si>
  <si>
    <t xml:space="preserve">    02 01 99 - Non-Hazardous - Wastes not otherwise specified</t>
  </si>
  <si>
    <t xml:space="preserve">  02 02 - Wastes from the preparation and processing of meat, fish and other foods of animal origin</t>
  </si>
  <si>
    <t xml:space="preserve">    02 02 01 - Non-Hazardous - Sludges from washing and cleaning</t>
  </si>
  <si>
    <t xml:space="preserve">    02 02 02 - Non-Hazardous - Animal-tissue waste</t>
  </si>
  <si>
    <t xml:space="preserve">    02 02 03 - Non-Hazardous - Materials unsuitable for consumption or processing</t>
  </si>
  <si>
    <t xml:space="preserve">    02 02 04 - Non-Hazardous - Sludges from on-site effluent treatment</t>
  </si>
  <si>
    <t xml:space="preserve">    02 02 99 - Non-Hazardous - Wastes not otherwise specified</t>
  </si>
  <si>
    <t xml:space="preserve">  02 03 - Wastes from fruit, vegetables, cereals, edible oils, cocoa, coffee, tea and tobacco preparation and processing; conserve production; yeast and yeast extract production, molasses preparation and fermentation</t>
  </si>
  <si>
    <t xml:space="preserve">    02 03 01 - Non-Hazardous - Sludges from washing, cleaning, peeling, centrifuging and separation</t>
  </si>
  <si>
    <t xml:space="preserve">    02 03 02 - Non-Hazardous - Wastes from preserving agents</t>
  </si>
  <si>
    <t xml:space="preserve">    02 03 03 - Non-Hazardous - Wastes from solvent extraction</t>
  </si>
  <si>
    <t xml:space="preserve">    02 03 04 - Non-Hazardous - Materials unsuitable for consumption or processing</t>
  </si>
  <si>
    <t xml:space="preserve">    02 03 05 - Non-Hazardous - Sludges from on-site effluent treatment</t>
  </si>
  <si>
    <t xml:space="preserve">    02 03 99 - Non-Hazardous - Wastes not otherwise specified</t>
  </si>
  <si>
    <t xml:space="preserve">  02 04 - Wastes from sugar processing</t>
  </si>
  <si>
    <t xml:space="preserve">    02 04 01 - Non-Hazardous - Soil from cleaning and washing beet</t>
  </si>
  <si>
    <t xml:space="preserve">    02 04 02 - Non-Hazardous - Off-specification calcium carbonate</t>
  </si>
  <si>
    <t xml:space="preserve">    02 04 03 - Non-Hazardous - Sludges from on-site effluent treatment</t>
  </si>
  <si>
    <t xml:space="preserve">    02 04 99 - Non-Hazardous - Wastes not otherwise specified</t>
  </si>
  <si>
    <t xml:space="preserve">  02 05 - Wastes from the dairy products industry</t>
  </si>
  <si>
    <t xml:space="preserve">    02 05 01 - Non-Hazardous - Materials unsuitable for consumption or processing</t>
  </si>
  <si>
    <t xml:space="preserve">    02 05 02 - Non-Hazardous - Sludges from on-site effluent treatment</t>
  </si>
  <si>
    <t xml:space="preserve">    02 05 99 - Non-Hazardous - Wastes not otherwise specified</t>
  </si>
  <si>
    <t xml:space="preserve">  02 06 - Wastes from the baking and confectionery industry</t>
  </si>
  <si>
    <t xml:space="preserve">    02 06 01 - Non-Hazardous - Materials unsuitable for consumption or processing</t>
  </si>
  <si>
    <t xml:space="preserve">    02 06 02 - Non-Hazardous - Wastes from preserving agents</t>
  </si>
  <si>
    <t xml:space="preserve">    02 06 03 - Non-Hazardous - Sludges from on-site effluent treatment</t>
  </si>
  <si>
    <t xml:space="preserve">    02 06 99 - Non-Hazardous - Wastes not otherwise specified</t>
  </si>
  <si>
    <t xml:space="preserve">  02 07 - Wastes from the production of alcoholic and non-alcoholic beverages (except coffee, tea and cocoa)</t>
  </si>
  <si>
    <t xml:space="preserve">    02 07 01 - Non-Hazardous - Wastes from washing, cleaning and mechanical reduction of raw materials</t>
  </si>
  <si>
    <t xml:space="preserve">    02 07 02 - Non-Hazardous - Wastes from spirits distillation</t>
  </si>
  <si>
    <t xml:space="preserve">    02 07 03 - Non-Hazardous - Wastes from chemical treatment</t>
  </si>
  <si>
    <t xml:space="preserve">    02 07 04 - Non-Hazardous - Materials unsuitable for consumption or processing</t>
  </si>
  <si>
    <t xml:space="preserve">    02 07 05 - Non-Hazardous - Sludges from on-site effluent treatment</t>
  </si>
  <si>
    <t xml:space="preserve">    02 07 99 - Non-Hazardous - Wastes not otherwise specified</t>
  </si>
  <si>
    <t xml:space="preserve">  03 01 - Wastes from wood processing and the production of panels and furniture</t>
  </si>
  <si>
    <t xml:space="preserve">    03 01 01 - Non-Hazardous - Waste bark and cork</t>
  </si>
  <si>
    <t xml:space="preserve">    03 01 04 - Hazardous - Sawdust, shavings, cuttings, wood, particle board and veneer containing hazardous substances</t>
  </si>
  <si>
    <t xml:space="preserve">    03 01 05 - Non-Hazardous - Sawdust, shavings, cuttings, wood, particle board and veneer other than those mentioned in 03 01 04</t>
  </si>
  <si>
    <t xml:space="preserve">    03 01 99 - Non-Hazardous - Wastes not otherwise specified</t>
  </si>
  <si>
    <t xml:space="preserve">  03 02 - Wastes from wood preservation</t>
  </si>
  <si>
    <t xml:space="preserve">    03 02 01 - Hazardous - Non-halogenated organic wood preservatives</t>
  </si>
  <si>
    <t xml:space="preserve">    03 02 02 - Hazardous - Organochlorinated wood preservatives</t>
  </si>
  <si>
    <t xml:space="preserve">    03 02 03 - Hazardous - Organometallic wood preservatives</t>
  </si>
  <si>
    <t xml:space="preserve">    03 02 04 - Hazardous - Inorganic wood preservatives</t>
  </si>
  <si>
    <t xml:space="preserve">    03 02 05 - Hazardous - Other wood preservatives containing hazardous substances</t>
  </si>
  <si>
    <t xml:space="preserve">    03 02 99 - Non-Hazardous - Wood preservatives not otherwise specified</t>
  </si>
  <si>
    <t xml:space="preserve">  03 03 - Wastes from pulp, paper and cardboard production and processing</t>
  </si>
  <si>
    <t xml:space="preserve">    03 03 01 - Non-Hazardous - Waste bark and wood</t>
  </si>
  <si>
    <t xml:space="preserve">    03 03 02 - Non-Hazardous - Green liquor sludge (from recovery of cooking liquor)</t>
  </si>
  <si>
    <t xml:space="preserve">    03 03 05 - Non-Hazardous - De-inking sludges from paper recycling</t>
  </si>
  <si>
    <t xml:space="preserve">    03 03 07 - Non-Hazardous - Mechanically separated rejects from pulping of waste paper and cardboard</t>
  </si>
  <si>
    <t xml:space="preserve">    03 03 08 - Non-Hazardous - Wastes from sorting of paper and cardboard destined for recycling</t>
  </si>
  <si>
    <t xml:space="preserve">    03 03 09 - Non-Hazardous - Lime mud waste</t>
  </si>
  <si>
    <t xml:space="preserve">    03 03 10 - Non-Hazardous - Fibre rejects, fibre-, filler- and coating-sludges from mechanical separation</t>
  </si>
  <si>
    <t xml:space="preserve">    03 03 11 - Non-Hazardous - Sludges from on-site effluent treatment other than those mentioned in 03 03 10</t>
  </si>
  <si>
    <t xml:space="preserve">    03 03 99 - Non-Hazardous - Wastes not otherwise specified</t>
  </si>
  <si>
    <t xml:space="preserve">  04 01 - Wastes from the leather and fur industry</t>
  </si>
  <si>
    <t xml:space="preserve">    04 01 01 - Non-Hazardous - Fleshings and lime split wastes</t>
  </si>
  <si>
    <t xml:space="preserve">    04 01 02 - Non-Hazardous - Liming waste</t>
  </si>
  <si>
    <t xml:space="preserve">    04 01 03 - Hazardous - Degreasing wastes containing solvents without a liquid phase</t>
  </si>
  <si>
    <t xml:space="preserve">    04 01 04 - Non-Hazardous - Tanning liquor containing chromium</t>
  </si>
  <si>
    <t xml:space="preserve">    04 01 05 - Non-Hazardous - Tanning liquor free of chromium</t>
  </si>
  <si>
    <t xml:space="preserve">    04 01 06 - Non-Hazardous - Sludges, in particular from on-site effluent treatment containing chromium</t>
  </si>
  <si>
    <t xml:space="preserve">    04 01 07 - Non-Hazardous - Sludges, in particular from on-site effluent treatment free of chromium</t>
  </si>
  <si>
    <t xml:space="preserve">    04 01 08 - Non-Hazardous - Waste tanned leather (blue sheetings, shavings, cuttings, buffing dust) containing chromium</t>
  </si>
  <si>
    <t xml:space="preserve">    04 01 09 - Non-Hazardous - Wastes from dressing and finishing</t>
  </si>
  <si>
    <t xml:space="preserve">    04 01 99 - Non-Hazardous - Wastes not otherwise specified</t>
  </si>
  <si>
    <t xml:space="preserve">  04 02 - Wastes from the textile industry</t>
  </si>
  <si>
    <t xml:space="preserve">    04 02 09 - Non-Hazardous - Wastes from composite materials (impregnated textile, elastomer, plastomer)</t>
  </si>
  <si>
    <t xml:space="preserve">    04 02 10 - Non-Hazardous - Organic matter from natural products (for example grease, wax)</t>
  </si>
  <si>
    <t xml:space="preserve">    04 02 14 - Hazardous - Wastes from finishing containing organic solvents</t>
  </si>
  <si>
    <t xml:space="preserve">    04 02 15 - Non-Hazardous - Wastes from finishing other than those mentioned in 04 02 14</t>
  </si>
  <si>
    <t xml:space="preserve">    04 02 16 - Hazardous - Dyestuffs and pigments containing hazardous substances</t>
  </si>
  <si>
    <t xml:space="preserve">    04 02 17 - Non-Hazardous - Dyestuffs and pigments other than those mentioned in 04 02 16</t>
  </si>
  <si>
    <t xml:space="preserve">    04 02 19 - Hazardous - Sludges from on-site effluent treatment containing hazardous substances</t>
  </si>
  <si>
    <t xml:space="preserve">    04 02 20 - Non-Hazardous - Sludges from on-site effluent treatment other than those mentioned in 04 02 19</t>
  </si>
  <si>
    <t xml:space="preserve">    04 02 21 - Non-Hazardous - Wastes from unprocessed textile fibres</t>
  </si>
  <si>
    <t xml:space="preserve">    04 02 22 - Non-Hazardous - Wastes from processed textile fibres</t>
  </si>
  <si>
    <t xml:space="preserve">    04 02 99 - Non-Hazardous - Wastes not otherwise specified</t>
  </si>
  <si>
    <t xml:space="preserve">  05 01 - Wastes from petroleum refining</t>
  </si>
  <si>
    <t xml:space="preserve">    05 01 02 - Hazardous - Desalter sludges</t>
  </si>
  <si>
    <t xml:space="preserve">    05 01 03 - Hazardous - Tank bottom sludges</t>
  </si>
  <si>
    <t xml:space="preserve">    05 01 04 - Hazardous - Acid alkyl sludges</t>
  </si>
  <si>
    <t xml:space="preserve">    05 01 05 - Hazardous - Oil spills</t>
  </si>
  <si>
    <t xml:space="preserve">    05 01 06 - Hazardous - Oily sludges from maintenance operations of the plant or equipment</t>
  </si>
  <si>
    <t xml:space="preserve">    05 01 07 - Hazardous - Acid tars</t>
  </si>
  <si>
    <t xml:space="preserve">    05 01 08 - Hazardous - Other tars</t>
  </si>
  <si>
    <t xml:space="preserve">    05 01 09 - Hazardous - Sludges from on-site effluent treatment containing hazardous substances</t>
  </si>
  <si>
    <t xml:space="preserve">    05 01 10 - Non-Hazardous - Sludges from on-site effluent treatment other than those mentioned in 05 01 09</t>
  </si>
  <si>
    <t xml:space="preserve">    05 01 11 - Hazardous - Wastes from cleaning of fuels with bases</t>
  </si>
  <si>
    <t xml:space="preserve">    05 01 12 - Hazardous - Oil containing acids</t>
  </si>
  <si>
    <t xml:space="preserve">    05 01 13 - Non-Hazardous - Boiler feedwater sludges</t>
  </si>
  <si>
    <t xml:space="preserve">    05 01 14 - Non-Hazardous - Wastes from cooling columns</t>
  </si>
  <si>
    <t xml:space="preserve">    05 01 15 - Hazardous - Spent filter clays</t>
  </si>
  <si>
    <t xml:space="preserve">    05 01 16 - Non-Hazardous - Sulphur-containing wastes from petroleum desulphurisation</t>
  </si>
  <si>
    <t xml:space="preserve">    05 01 17 - Non-Hazardous - Bitumen</t>
  </si>
  <si>
    <t xml:space="preserve">    05 01 99 - Non-Hazardous - Wastes not otherwise specified</t>
  </si>
  <si>
    <t xml:space="preserve">  05 06 - Wastes from the pyrolytic treatment of coal</t>
  </si>
  <si>
    <t xml:space="preserve">    05 06 01 - Hazardous - Acid tars</t>
  </si>
  <si>
    <t xml:space="preserve">    05 06 03 - Hazardous - Other tars</t>
  </si>
  <si>
    <t xml:space="preserve">    05 06 04 - Non-Hazardous - Waste from cooling columns</t>
  </si>
  <si>
    <t xml:space="preserve">    05 06 99 - Non-Hazardous - Wastes not otherwise specified</t>
  </si>
  <si>
    <t xml:space="preserve">  05 07 - Wastes from natural gas purification and transportation</t>
  </si>
  <si>
    <t xml:space="preserve">    05 07 01 - Hazardous - Wastes containing mercury</t>
  </si>
  <si>
    <t xml:space="preserve">    05 07 02 - Non-Hazardous - Wastes containing sulphur</t>
  </si>
  <si>
    <t xml:space="preserve">    05 07 99 - Non-Hazardous - Wastes not otherwise specified</t>
  </si>
  <si>
    <t xml:space="preserve">  06 01 - Wastes from the manufacture, formulation, supply and use (MFSU) of acids</t>
  </si>
  <si>
    <t xml:space="preserve">    06 01 01 - Hazardous - Sulphuric acid and sulphurous acid</t>
  </si>
  <si>
    <t xml:space="preserve">    06 01 02 - Hazardous - Hydrochloric acid</t>
  </si>
  <si>
    <t xml:space="preserve">    06 01 03 - Hazardous - Hydrofluoric acid</t>
  </si>
  <si>
    <t xml:space="preserve">    06 01 04 - Hazardous - Phosphoric and phosphorous acid</t>
  </si>
  <si>
    <t xml:space="preserve">    06 01 05 - Hazardous - Nitric acid and nitrous acid</t>
  </si>
  <si>
    <t xml:space="preserve">    06 01 06 - Hazardous - Other acids</t>
  </si>
  <si>
    <t xml:space="preserve">    06 01 99 - Non-Hazardous - Wastes not otherwise specified</t>
  </si>
  <si>
    <t xml:space="preserve">  06 02 - Wastes from the MFSU of bases</t>
  </si>
  <si>
    <t xml:space="preserve">    06 02 01 - Hazardous - Calcium hydroxide</t>
  </si>
  <si>
    <t xml:space="preserve">    06 02 03 - Hazardous - Ammonium hydroxide</t>
  </si>
  <si>
    <t xml:space="preserve">    06 02 04 - Hazardous - Sodium and potassium hydroxide</t>
  </si>
  <si>
    <t xml:space="preserve">    06 02 05 - Hazardous - Other bases</t>
  </si>
  <si>
    <t xml:space="preserve">    06 02 99 - Non-Hazardous - Wastes not otherwise specified</t>
  </si>
  <si>
    <t xml:space="preserve">  06 03 - Wastes from the MFSU of salts and their solutions and metallic oxides</t>
  </si>
  <si>
    <t xml:space="preserve">    06 03 11 - Hazardous - Solid salts and solutions containing cyanides</t>
  </si>
  <si>
    <t xml:space="preserve">    06 03 13 - Hazardous - Solid salts and solutions containing heavy metals</t>
  </si>
  <si>
    <t xml:space="preserve">    06 03 14 - Non-Hazardous - Solid salts and solutions other than those mentioned in 06 03 11 and 06 03 13</t>
  </si>
  <si>
    <t xml:space="preserve">    06 03 15 - Hazardous - Metallic oxides containing heavy metals</t>
  </si>
  <si>
    <t xml:space="preserve">    06 03 16 - Non-Hazardous - Metallic oxides other than those mentioned in 06 03 15</t>
  </si>
  <si>
    <t xml:space="preserve">    06 03 99 - Non-Hazardous - Wastes not otherwise specified</t>
  </si>
  <si>
    <t xml:space="preserve">  06 04 - Metal-containing wastes other than those mentioned in 06 03</t>
  </si>
  <si>
    <t xml:space="preserve">    06 04 03 - Hazardous - Wastes containing arsenic</t>
  </si>
  <si>
    <t xml:space="preserve">    06 04 04 - Hazardous - Wastes containing mercury</t>
  </si>
  <si>
    <t xml:space="preserve">    06 04 05 - Hazardous - Wastes containing other heavy metals</t>
  </si>
  <si>
    <t xml:space="preserve">    06 04 99 - Non-Hazardous - Wastes not otherwise specified</t>
  </si>
  <si>
    <t xml:space="preserve">  06 05 - Sludges from on-site effluent treatment</t>
  </si>
  <si>
    <t xml:space="preserve">    06 05 02 - Hazardous - Sludges from on-site effluent treatment containing hazardous substances</t>
  </si>
  <si>
    <t xml:space="preserve">    06 05 03 - Non-Hazardous - Sludges from on-site effluent treatment other than those mentioned in 06 05 02</t>
  </si>
  <si>
    <t xml:space="preserve">  06 06 - Wastes from the MFSU of sulphur chemicals, sulphur chemical processes and desulphurisation processes</t>
  </si>
  <si>
    <t xml:space="preserve">    06 06 02 - Hazardous - Wastes containing hazardous sulphides</t>
  </si>
  <si>
    <t xml:space="preserve">    06 06 03 - Non-Hazardous - Wastes containing sulphides other than those mentioned in 06 06 02</t>
  </si>
  <si>
    <t xml:space="preserve">    06 06 99 - Non-Hazardous - Wastes not otherwise specified</t>
  </si>
  <si>
    <t xml:space="preserve">  06 07 - Wastes from the MFSU of halogens and halogen chemical processes</t>
  </si>
  <si>
    <t xml:space="preserve">    06 07 01 - Hazardous - Wastes containing asbestos from electrolysis</t>
  </si>
  <si>
    <t xml:space="preserve">    06 07 02 - Hazardous - Activated carbon from chlorine production</t>
  </si>
  <si>
    <t xml:space="preserve">    06 07 03 - Hazardous - Barium sulphate sludge containing mercury</t>
  </si>
  <si>
    <t xml:space="preserve">    06 07 04 - Hazardous - Solutions and acids, for example contact acid</t>
  </si>
  <si>
    <t xml:space="preserve">    06 07 99 - Non-Hazardous - Wastes not otherwise specified</t>
  </si>
  <si>
    <t xml:space="preserve">  06 08 - Wastes from the MFSU of silicon and silicon derivatives</t>
  </si>
  <si>
    <t xml:space="preserve">    06 08 02 - Hazardous - Waste containing hazardous chlorosilanes</t>
  </si>
  <si>
    <t xml:space="preserve">    06 08 99 - Non-Hazardous - Wastes not otherwise specified</t>
  </si>
  <si>
    <t xml:space="preserve">  06 09 - Wastes from the MSFU of phosphorous chemicals and phosphorous chemical processes</t>
  </si>
  <si>
    <t xml:space="preserve">    06 09 02 - Non-Hazardous - Phosphorous slag</t>
  </si>
  <si>
    <t xml:space="preserve">    06 09 03 - Hazardous - Calcium-based reaction wastes containing or contaminated with hazardous substances</t>
  </si>
  <si>
    <t xml:space="preserve">    06 09 04 - Non-Hazardous - Calcium-based reaction wastes other than those mentioned in 06 09 03</t>
  </si>
  <si>
    <t xml:space="preserve">    06 09 99 - Non-Hazardous - Wastes not otherwise specified</t>
  </si>
  <si>
    <t xml:space="preserve">  06 10 - Wastes from the MFSU of nitrogen chemicals, nitrogen chemical processes and fertiliser manufacture</t>
  </si>
  <si>
    <t xml:space="preserve">    06 10 02 - Hazardous - Wastes containing hazardous substances</t>
  </si>
  <si>
    <t xml:space="preserve">    06 10 99 - Non-Hazardous - Wastes not otherwise specified</t>
  </si>
  <si>
    <t xml:space="preserve">  06 11 - Wastes from the manufacture of inorganic pigments and opacificiers</t>
  </si>
  <si>
    <t xml:space="preserve">    06 11 01 - Non-Hazardous - Calcium-based reaction wastes from titanium dioxide production</t>
  </si>
  <si>
    <t xml:space="preserve">    06 11 99 - Non-Hazardous - Wastes not otherwise specified</t>
  </si>
  <si>
    <t xml:space="preserve">  06 13 - Wastes from inorganic chemical processes not otherwise specified</t>
  </si>
  <si>
    <t xml:space="preserve">    06 13 01 - Hazardous - Inorganic plant protection products, wood-preserving agents and other biocides.</t>
  </si>
  <si>
    <t xml:space="preserve">    06 13 02 - Hazardous - Spent activated carbon (except 06 07 02)</t>
  </si>
  <si>
    <t xml:space="preserve">    06 13 03 - Non-Hazardous - Carbon black</t>
  </si>
  <si>
    <t xml:space="preserve">    06 13 04 - Hazardous - Wastes from asbestos processing</t>
  </si>
  <si>
    <t xml:space="preserve">    06 13 05 - Hazardous - Soot</t>
  </si>
  <si>
    <t xml:space="preserve">    06 13 99 - Non-Hazardous - Wastes not otherwise specified</t>
  </si>
  <si>
    <t xml:space="preserve">  07 01 - Wastes from the manufacture, formulation, supply and use (MFSU) of basic organic chemicals</t>
  </si>
  <si>
    <t xml:space="preserve">    07 01 01 - Hazardous - Aqueous washing liquids and mother liquors</t>
  </si>
  <si>
    <t xml:space="preserve">    07 01 03 - Hazardous - Organic halogenated solvents, washing liquids and mother liquors</t>
  </si>
  <si>
    <t xml:space="preserve">    07 01 04 - Hazardous - Other organic solvents, washing liquids and mother liquors</t>
  </si>
  <si>
    <t xml:space="preserve">    07 01 07 - Hazardous - Halogenated still bottoms and reaction residues</t>
  </si>
  <si>
    <t xml:space="preserve">    07 01 08 - Hazardous - Other still bottoms and reaction residues</t>
  </si>
  <si>
    <t xml:space="preserve">    07 01 09 - Hazardous - Halogenated filter cakes and spent absorbents</t>
  </si>
  <si>
    <t xml:space="preserve">    07 01 10 - Hazardous - Other filter cakes and spent absorbents</t>
  </si>
  <si>
    <t xml:space="preserve">    07 01 11 - Hazardous - Sludges from on-site effluent treatment containing hazardous substances</t>
  </si>
  <si>
    <t xml:space="preserve">    07 01 12 - Non-Hazardous - Sludges from on-site effluent treatment other than those mentioned in 07 01 11</t>
  </si>
  <si>
    <t xml:space="preserve">    07 01 99 - Non-Hazardous - Wastes not otherwise specified</t>
  </si>
  <si>
    <t xml:space="preserve">  07 02 - Wastes from the MFSU of plastics, synthetic rubber and man-made fibres</t>
  </si>
  <si>
    <t xml:space="preserve">    07 02 01 - Hazardous - Aqueous washing liquids and mother liquors</t>
  </si>
  <si>
    <t xml:space="preserve">    07 02 03 - Hazardous - Organic halogenated solvents, washing liquids and mother liquors</t>
  </si>
  <si>
    <t xml:space="preserve">    07 02 04 - Hazardous - Other organic solvents, washing liquids and mother liquors</t>
  </si>
  <si>
    <t xml:space="preserve">    07 02 07 - Hazardous - Halogenated still bottoms and reaction residues</t>
  </si>
  <si>
    <t xml:space="preserve">    07 02 08 - Hazardous - Other still bottoms and reaction residues</t>
  </si>
  <si>
    <t xml:space="preserve">    07 02 09 - Hazardous - Halogenated filter cakes and spent absorbents</t>
  </si>
  <si>
    <t xml:space="preserve">    07 02 10 - Hazardous - Other filter cakes and spent absorbents</t>
  </si>
  <si>
    <t xml:space="preserve">    07 02 11 - Hazardous - Sludges from on-site effluent treatment containing hazardous substances</t>
  </si>
  <si>
    <t xml:space="preserve">    07 02 12 - Non-Hazardous - Sludges from on-site effluent treatment other than those mentioned in 07 02 11</t>
  </si>
  <si>
    <t xml:space="preserve">    07 02 13 - Non-Hazardous - Waste plastic</t>
  </si>
  <si>
    <t xml:space="preserve">    07 02 14 - Hazardous - Wastes from additives containing hazardous substances</t>
  </si>
  <si>
    <t xml:space="preserve">    07 02 15 - Non-Hazardous - Wastes from additives other than those mentioned in 07 02 14</t>
  </si>
  <si>
    <t xml:space="preserve">    07 02 16 - Hazardous - Waste containing hazardous silicones</t>
  </si>
  <si>
    <t xml:space="preserve">    07 02 17 - Non-Hazardous - Waste containing silicones other than those mentioned in 07 02 16</t>
  </si>
  <si>
    <t xml:space="preserve">    07 02 99 - Non-Hazardous - Wastes not otherwise specified</t>
  </si>
  <si>
    <t xml:space="preserve">  07 03 - Wastes from the MFSU of organic dyes and pigments (except 06 11)</t>
  </si>
  <si>
    <t xml:space="preserve">    07 03 01 - Hazardous - Aqueous washing liquids and mother liquors</t>
  </si>
  <si>
    <t xml:space="preserve">    07 03 03 - Hazardous - Organic halogenated solvents, washing liquids and mother liquors</t>
  </si>
  <si>
    <t xml:space="preserve">    07 03 04 - Hazardous - Other organic solvents, washing liquids and mother liquors</t>
  </si>
  <si>
    <t xml:space="preserve">    07 03 07 - Hazardous - Halogenated still bottoms and reaction residues</t>
  </si>
  <si>
    <t xml:space="preserve">    07 03 08 - Hazardous - Other still bottoms and reaction residues</t>
  </si>
  <si>
    <t xml:space="preserve">    07 03 09 - Hazardous - Halogenated filter cakes and spent absorbents</t>
  </si>
  <si>
    <t xml:space="preserve">    07 03 10 - Hazardous - Other filter cakes and spent absorbents</t>
  </si>
  <si>
    <t xml:space="preserve">    07 03 11 - Hazardous - Sludges from on-site effluent treatment containing hazardous substances</t>
  </si>
  <si>
    <t xml:space="preserve">    07 03 12 - Non-Hazardous - Sludges from on-site effluent treatment other than those mentioned in 07 03 11</t>
  </si>
  <si>
    <t xml:space="preserve">    07 03 99 - Non-Hazardous - Wastes not otherwise specified</t>
  </si>
  <si>
    <t xml:space="preserve">  07 04 - Wastes from the MFSU of organic plant protection products (except 02 01 08 and 02 01 09), wood preserving agents (except 03 02) and other biocides</t>
  </si>
  <si>
    <t xml:space="preserve">    07 04 01 - Hazardous - Aqueous washing liquids and mother liquors</t>
  </si>
  <si>
    <t xml:space="preserve">    07 04 03 - Hazardous - Organic halogenated solvents, washing liquids and mother liquors</t>
  </si>
  <si>
    <t xml:space="preserve">    07 04 04 - Hazardous - Other organic solvents, washing liquids and mother liquors</t>
  </si>
  <si>
    <t xml:space="preserve">    07 04 07 - Hazardous - Halogenated still bottoms and reaction residues</t>
  </si>
  <si>
    <t xml:space="preserve">    07 04 08 - Hazardous - Other still bottoms and reaction residues</t>
  </si>
  <si>
    <t xml:space="preserve">    07 04 09 - Hazardous - Halogenated filter cakes and spent absorbents</t>
  </si>
  <si>
    <t xml:space="preserve">    07 04 10 - Hazardous - Other filter cakes and spent absorbents</t>
  </si>
  <si>
    <t xml:space="preserve">    07 04 11 - Hazardous - Sludges from on-site effluent treatment containing hazardous substances</t>
  </si>
  <si>
    <t xml:space="preserve">    07 04 12 - Non-Hazardous - Sludges from on-site effluent treatment other than those mentioned in 07 04 11</t>
  </si>
  <si>
    <t xml:space="preserve">    07 04 13 - Hazardous - Solid wastes containing hazardous substances</t>
  </si>
  <si>
    <t xml:space="preserve">    07 04 99 - Non-Hazardous - Wastes not otherwise specified</t>
  </si>
  <si>
    <t xml:space="preserve">  07 05 - Wastes from the MFSU of pharmaceuticals</t>
  </si>
  <si>
    <t xml:space="preserve">    07 05 01 - Hazardous - Aqueous washing liquids and mother liquors</t>
  </si>
  <si>
    <t xml:space="preserve">    07 05 03 - Hazardous - Organic halogenated solvents, washing liquids and mother liquors</t>
  </si>
  <si>
    <t xml:space="preserve">    07 05 04 - Hazardous - Other organic solvents, washing liquids and mother liquors</t>
  </si>
  <si>
    <t xml:space="preserve">    07 05 07 - Hazardous - Halogenated still bottoms and reaction residues</t>
  </si>
  <si>
    <t xml:space="preserve">    07 05 08 - Hazardous - Other still bottoms and reaction residues</t>
  </si>
  <si>
    <t xml:space="preserve">    07 05 09 - Hazardous - Halogenated filter cakes and spent absorbents</t>
  </si>
  <si>
    <t xml:space="preserve">    07 05 10 - Hazardous - Other filter cakes and spent absorbents</t>
  </si>
  <si>
    <t xml:space="preserve">    07 05 11 - Hazardous - Sludges from on-site effluent treatment containing hazardous substances</t>
  </si>
  <si>
    <t xml:space="preserve">    07 05 12 - Non-Hazardous - Sludges from on-site effluent treatment other than those mentioned in 07 05 11</t>
  </si>
  <si>
    <t xml:space="preserve">    07 05 13 - Hazardous - Solid wastes containing hazardous substances</t>
  </si>
  <si>
    <t xml:space="preserve">    07 05 14 - Non-Hazardous - Solid wastes other than those mentioned in 07 05 13</t>
  </si>
  <si>
    <t xml:space="preserve">    07 05 99 - Non-Hazardous - Wastes not otherwise specified</t>
  </si>
  <si>
    <t xml:space="preserve">  07 06 - Wastes from the MFSU of fats, grease, soaps, detergents, disinfectants and cosmetics</t>
  </si>
  <si>
    <t xml:space="preserve">    07 06 01 - Hazardous - Aqueous washing liquids and mother liquors</t>
  </si>
  <si>
    <t xml:space="preserve">    07 06 03 - Hazardous - Organic halogenated solvents, washing liquids and mother liquors</t>
  </si>
  <si>
    <t xml:space="preserve">    07 06 04 - Hazardous - Other organic solvents, washing liquids and mother liquors</t>
  </si>
  <si>
    <t xml:space="preserve">    07 06 07 - Hazardous - Halogenated still bottoms and reaction residues</t>
  </si>
  <si>
    <t xml:space="preserve">    07 06 08 - Hazardous - Other still bottoms and reaction residues</t>
  </si>
  <si>
    <t xml:space="preserve">    07 06 09 - Hazardous - Halogenated filter cakes and spent absorbents</t>
  </si>
  <si>
    <t xml:space="preserve">    07 06 10 - Hazardous - Other filter cakes and spent absorbents</t>
  </si>
  <si>
    <t xml:space="preserve">    07 06 11 - Hazardous - Sludges from on-site effluent treatment containing hazardous substances</t>
  </si>
  <si>
    <t xml:space="preserve">    07 06 12 - Non-Hazardous - Sludges from on-site effluent treatment other than those mentioned in 07 06 11</t>
  </si>
  <si>
    <t xml:space="preserve">    07 06 99 - Non-Hazardous - Wastes not otherwise specified</t>
  </si>
  <si>
    <t xml:space="preserve">  07 07 - Wastes from the MFSU of fine chemicals and chemical products not otherwise specified</t>
  </si>
  <si>
    <t xml:space="preserve">    07 07 01 - Hazardous - Aqueous washing liquids and mother liquors</t>
  </si>
  <si>
    <t xml:space="preserve">    07 07 03 - Hazardous - Organic halogenated solvents, washing liquids and mother liquors</t>
  </si>
  <si>
    <t xml:space="preserve">    07 07 04 - Hazardous - Other organic solvents, washing liquids and mother liquors</t>
  </si>
  <si>
    <t xml:space="preserve">    07 07 07 - Hazardous - Halogenated still bottoms and reaction residues</t>
  </si>
  <si>
    <t xml:space="preserve">    07 07 08 - Hazardous - Other still bottoms and reaction residues</t>
  </si>
  <si>
    <t xml:space="preserve">    07 07 09 - Hazardous - Halogenated filter cakes and spent absorbents</t>
  </si>
  <si>
    <t xml:space="preserve">    07 07 10 - Hazardous - Other filter cakes and spent absorbents</t>
  </si>
  <si>
    <t xml:space="preserve">    07 07 11 - Hazardous - Sludges from on-site effluent treatment containing hazardous substances</t>
  </si>
  <si>
    <t xml:space="preserve">    07 07 12 - Non-Hazardous - Sludges from on-site effluent treatment other than those mentioned in 07 07 11</t>
  </si>
  <si>
    <t xml:space="preserve">    07 07 99 - Non-Hazardous - Wastes not otherwise specified</t>
  </si>
  <si>
    <t xml:space="preserve">  08 01 - Wastes from MFSU and removal of paint and varnish</t>
  </si>
  <si>
    <t xml:space="preserve">    08 01 11 - Hazardous - Waste paint and varnish containing organic solvents or other hazardous substances</t>
  </si>
  <si>
    <t xml:space="preserve">    08 01 12 - Non-Hazardous - Waste paint and varnish other than those mentioned in 08 01 11</t>
  </si>
  <si>
    <t xml:space="preserve">    08 01 13 - Hazardous - Sludges from paint or varnish containing organic solvents or other hazardous substances</t>
  </si>
  <si>
    <t xml:space="preserve">    08 01 14 - Non-Hazardous - Sludges from paint or varnish other than those mentioned in 08 01 13</t>
  </si>
  <si>
    <t xml:space="preserve">    08 01 15 - Hazardous - Aqueous sludges containing paint or varnish containing organic solvents or other hazardous substances</t>
  </si>
  <si>
    <t xml:space="preserve">    08 01 16 - Non-Hazardous - Aqueous sludges containing paint or varnish other than those mentioned in 08 01 15</t>
  </si>
  <si>
    <t xml:space="preserve">    08 01 17 - Hazardous - Wastes from paint or varnish removal containing organic solvents or other hazardous substances</t>
  </si>
  <si>
    <t xml:space="preserve">    08 01 18 - Non-Hazardous - Wastes from paint or varnish removal other than those mentioned in 08 01 17</t>
  </si>
  <si>
    <t xml:space="preserve">    08 01 19 - Hazardous - Aqueous suspensions containing paint or varnish containing organic solvents or other hazardous substances</t>
  </si>
  <si>
    <t xml:space="preserve">    08 01 20 - Non-Hazardous - Aqueous suspensions containing paint or varnish other than those mentioned in 08 01 19</t>
  </si>
  <si>
    <t xml:space="preserve">    08 01 21 - Hazardous - Waste paint or varnish remover</t>
  </si>
  <si>
    <t xml:space="preserve">    08 01 99 - Non-Hazardous - Wastes not otherwise specified</t>
  </si>
  <si>
    <t xml:space="preserve">  08 02 - Wastes from MFSU of other coatings (including ceramic materials)</t>
  </si>
  <si>
    <t xml:space="preserve">    08 02 01 - Non-Hazardous - Waste coating powders</t>
  </si>
  <si>
    <t xml:space="preserve">    08 02 02 - Non-Hazardous - Aqueous sludges containing ceramic materials</t>
  </si>
  <si>
    <t xml:space="preserve">    08 02 03 - Non-Hazardous - Aqueous suspensions containing ceramic materials</t>
  </si>
  <si>
    <t xml:space="preserve">    08 02 99 - Non-Hazardous - Wastes not otherwise specified</t>
  </si>
  <si>
    <t xml:space="preserve">  08 03 - Wastes from MFSU of printing inks</t>
  </si>
  <si>
    <t xml:space="preserve">    08 03 07 - Non-Hazardous - Aqueous sludges containing ink</t>
  </si>
  <si>
    <t xml:space="preserve">    08 03 08 - Non-Hazardous - Aqueous liquid waste containing ink</t>
  </si>
  <si>
    <t xml:space="preserve">    08 03 12 - Hazardous - Waste ink containing hazardous substances</t>
  </si>
  <si>
    <t xml:space="preserve">    08 03 13 - Non-Hazardous - Waste ink other than those mentioned in 08 03 12</t>
  </si>
  <si>
    <t xml:space="preserve">    08 03 14 - Hazardous - Ink sludges containing hazardous substances</t>
  </si>
  <si>
    <t xml:space="preserve">    08 03 15 - Non-Hazardous - Ink sludges other than those mentioned in 08 03 14</t>
  </si>
  <si>
    <t xml:space="preserve">    08 03 16 - Hazardous - Waste etching solutions</t>
  </si>
  <si>
    <t xml:space="preserve">    08 03 17 - Hazardous - Waste printing toner containing hazardous substances</t>
  </si>
  <si>
    <t xml:space="preserve">    08 03 18 - Non-Hazardous - Waste printing toner other than those mentioned in 08 03 17</t>
  </si>
  <si>
    <t xml:space="preserve">    08 03 19 - Hazardous - Disperse oil</t>
  </si>
  <si>
    <t xml:space="preserve">    08 03 99 - Non-Hazardous - Wastes not otherwise specified</t>
  </si>
  <si>
    <t xml:space="preserve">  08 04 - Wastes from MFSU of adhesives and sealants (including waterproofing products)</t>
  </si>
  <si>
    <t xml:space="preserve">    08 04 09 - Hazardous - Waste adhesives and sealants containing organic solvents or other hazardous substances</t>
  </si>
  <si>
    <t xml:space="preserve">    08 04 10 - Non-Hazardous - Waste adhesives and sealants other than those mentioned in 08 04 09</t>
  </si>
  <si>
    <t xml:space="preserve">    08 04 11 - Hazardous - Adhesive and sealant sludges containing organic solvents or other hazardous substances</t>
  </si>
  <si>
    <t xml:space="preserve">    08 04 12 - Non-Hazardous - Adhesive and sealant sludges other than those mentioned in 08 04 11</t>
  </si>
  <si>
    <t xml:space="preserve">    08 04 13 - Hazardous - Aqueous sludges containing adhesives or sealants containing organic solvents or other hazardous substances</t>
  </si>
  <si>
    <t xml:space="preserve">    08 04 14 - Non-Hazardous - Aqueous sludges containing adhesives or sealants other than those mentioned in 08 04 13</t>
  </si>
  <si>
    <t xml:space="preserve">    08 04 15 - Hazardous - Aqueous liquid waste containing adhesives or sealants containing organic solvents or other hazardous substances</t>
  </si>
  <si>
    <t xml:space="preserve">    08 04 16 - Non-Hazardous - Aqueous liquid waste containing adhesives or sealants other than those mentioned in 08 04 15</t>
  </si>
  <si>
    <t xml:space="preserve">    08 04 17 - Hazardous - Rosin oil</t>
  </si>
  <si>
    <t xml:space="preserve">    08 04 99 - Non-Hazardous - Wastes not otherwise specified</t>
  </si>
  <si>
    <t xml:space="preserve">  08 05 - Wastes not otherwise specified in 08</t>
  </si>
  <si>
    <t xml:space="preserve">    08 05 01 - Hazardous - Waste isocyanates</t>
  </si>
  <si>
    <t xml:space="preserve">  09 01 - Wastes from the photographic industry</t>
  </si>
  <si>
    <t xml:space="preserve">    09 01 01 - Hazardous - Water-based developer and activator solutions</t>
  </si>
  <si>
    <t xml:space="preserve">    09 01 02 - Hazardous - Water-based offset plate developer solutions</t>
  </si>
  <si>
    <t xml:space="preserve">    09 01 03 - Hazardous - Solvent-based developer solutions</t>
  </si>
  <si>
    <t xml:space="preserve">    09 01 04 - Hazardous - Fixer solutions</t>
  </si>
  <si>
    <t xml:space="preserve">    09 01 05 - Hazardous - Bleach solutions and bleach fixer solutions</t>
  </si>
  <si>
    <t xml:space="preserve">    09 01 06 - Hazardous - Wastes containing silver from on-site treatment of photographic wastes</t>
  </si>
  <si>
    <t xml:space="preserve">    09 01 07 - Non-Hazardous - Photographic film and paper containing silver or silver compounds</t>
  </si>
  <si>
    <t xml:space="preserve">    09 01 08 - Non-Hazardous - Photographic film and paper free of silver or silver compounds</t>
  </si>
  <si>
    <t xml:space="preserve">    09 01 10 - Non-Hazardous - Single-use cameras without batteries</t>
  </si>
  <si>
    <t xml:space="preserve">    09 01 11 - Hazardous - Single-use cameras containing batteries included in 16 06 01, 16 06 02 or 16 06 03</t>
  </si>
  <si>
    <t xml:space="preserve">    09 01 12 - Non-Hazardous - Single-use cameras containing batteries other than those mentioned in 09 01 11</t>
  </si>
  <si>
    <t xml:space="preserve">    09 01 13 - Hazardous - Aqueous liquid waste from on-site reclamation of silver other than those mentioned in 09 01 06</t>
  </si>
  <si>
    <t xml:space="preserve">    09 01 99 - Non-Hazardous - Wastes not otherwise specified</t>
  </si>
  <si>
    <t xml:space="preserve">  10 01 - Wastes from power stations and other combustion plants (except 19)</t>
  </si>
  <si>
    <t xml:space="preserve">    10 01 01 - Non-Hazardous - Bottom ash, slag and boiler dust (excluding boiler dust mentioned in 10 01 04)</t>
  </si>
  <si>
    <t xml:space="preserve">    10 01 02 - Non-Hazardous - Coal fly ash</t>
  </si>
  <si>
    <t xml:space="preserve">    10 01 03 - Non-Hazardous - Fly ash from peat and untreated wood</t>
  </si>
  <si>
    <t xml:space="preserve">    10 01 04 - Hazardous - Oil fly ash and boiler dust</t>
  </si>
  <si>
    <t xml:space="preserve">    10 01 05 - Non-Hazardous - Calcium-based reaction wastes from flue-gas desulphurisation in solid form</t>
  </si>
  <si>
    <t xml:space="preserve">    10 01 07 - Non-Hazardous - Calcium-based reaction wastes from flue-gas desulphurisation in sludge form</t>
  </si>
  <si>
    <t xml:space="preserve">    10 01 09 - Hazardous - Sulphuric acid</t>
  </si>
  <si>
    <t xml:space="preserve">    10 01 13 - Hazardous - Fly ash from emulsified hydrocarbons used as fuel</t>
  </si>
  <si>
    <t xml:space="preserve">    10 01 14 - Hazardous - Bottom ash, slag and boiler dust from co-incineration containing hazardous substances</t>
  </si>
  <si>
    <t xml:space="preserve">    10 01 15 - Non-Hazardous - Bottom ash, slag and boiler dust from co-incineration other than those mentioned in 10 01 14</t>
  </si>
  <si>
    <t xml:space="preserve">    10 01 16 - Hazardous - Fly ash from co-incineration containing hazardous substances</t>
  </si>
  <si>
    <t xml:space="preserve">    10 01 17 - Non-Hazardous - Fly ash from co-incineration other than those mentioned in 10 01 16</t>
  </si>
  <si>
    <t xml:space="preserve">    10 01 18 - Hazardous - Wastes from gas cleaning containing hazardous substances</t>
  </si>
  <si>
    <t xml:space="preserve">    10 01 19 - Non-Hazardous - Wastes from gas cleaning other than those mentioned in 10 01 05, 10 01 07 and 10 01 18</t>
  </si>
  <si>
    <t xml:space="preserve">    10 01 20 - Hazardous - Sludges from on-site effluent treatment containing hazardous substances</t>
  </si>
  <si>
    <t xml:space="preserve">    10 01 21 - Non-Hazardous - Sludges from on-site effluent treatment other than those mentioned in 10 01 20</t>
  </si>
  <si>
    <t xml:space="preserve">    10 01 22 - Hazardous - Aqueous sludges from boiler cleansing containing hazardous substances</t>
  </si>
  <si>
    <t xml:space="preserve">    10 01 23 - Non-Hazardous - Aqueous sludges from boiler cleansing other than those mentioned in 10 01 22</t>
  </si>
  <si>
    <t xml:space="preserve">    10 01 24 - Non-Hazardous - Sands from fluidised beds</t>
  </si>
  <si>
    <t xml:space="preserve">    10 01 25 - Non-Hazardous - Wastes from fuel storage and preparation of coal-fired power plants</t>
  </si>
  <si>
    <t xml:space="preserve">    10 01 26 - Non-Hazardous - Wastes from cooling-water treatment</t>
  </si>
  <si>
    <t xml:space="preserve">    10 01 99 - Non-Hazardous - Wastes not otherwise specified</t>
  </si>
  <si>
    <t xml:space="preserve">  10 02 - Wastes from the iron and steel industry</t>
  </si>
  <si>
    <t xml:space="preserve">    10 02 01 - Non-Hazardous - Wastes from the processing of slag</t>
  </si>
  <si>
    <t xml:space="preserve">    10 02 02 - Non-Hazardous - Unprocessed slag</t>
  </si>
  <si>
    <t xml:space="preserve">    10 02 07 - Hazardous - Solid wastes from gas treatment containing hazardous substances</t>
  </si>
  <si>
    <t xml:space="preserve">    10 02 08 - Non-Hazardous - Solid wastes from gas treatment other than those mentioned in 10 02 07</t>
  </si>
  <si>
    <t xml:space="preserve">    10 02 10 - Non-Hazardous - Mill scales</t>
  </si>
  <si>
    <t xml:space="preserve">    10 02 11 - Hazardous - Wastes from cooling-water treatment containing oil</t>
  </si>
  <si>
    <t xml:space="preserve">    10 02 12 - Non-Hazardous - Wastes from cooling-water treatment other than those mentioned in 10 02 11</t>
  </si>
  <si>
    <t xml:space="preserve">    10 02 13 - Hazardous - Sludges and filter cakes from gas treatment containing hazardous substances</t>
  </si>
  <si>
    <t xml:space="preserve">    10 02 14 - Non-Hazardous - Sludges and filter cakes from gas treatment other than those mentioned in 10 02 13</t>
  </si>
  <si>
    <t xml:space="preserve">    10 02 15 - Non-Hazardous - Other sludges and filter cakes</t>
  </si>
  <si>
    <t xml:space="preserve">    10 02 99 - Non-Hazardous - Wastes not otherwise specified</t>
  </si>
  <si>
    <t xml:space="preserve">  10 03 - Wastes from aluminium thermal metallurgy</t>
  </si>
  <si>
    <t xml:space="preserve">    10 03 02 - Non-Hazardous - Anode scraps</t>
  </si>
  <si>
    <t xml:space="preserve">    10 03 04 - Hazardous - Primary production slags</t>
  </si>
  <si>
    <t xml:space="preserve">    10 03 05 - Non-Hazardous - Waste alumina</t>
  </si>
  <si>
    <t xml:space="preserve">    10 03 08 - Hazardous - Salt slags from secondary production</t>
  </si>
  <si>
    <t xml:space="preserve">    10 03 09 - Hazardous - Black drosses from secondary production</t>
  </si>
  <si>
    <t xml:space="preserve">    10 03 15 - Hazardous - Skimmings that are flammable or emit, upon contact with water, flammable gases in hazardous quantities</t>
  </si>
  <si>
    <t xml:space="preserve">    10 03 16 - Non-Hazardous - Skimmings other than those mentioned in 10 03 15</t>
  </si>
  <si>
    <t xml:space="preserve">    10 03 17 - Hazardous - Tar-containing wastes from anode manufacture</t>
  </si>
  <si>
    <t xml:space="preserve">    10 03 18 - Non-Hazardous - Carbon-containing wastes from anode manufacture other than those mentioned in 10 03 17</t>
  </si>
  <si>
    <t xml:space="preserve">    10 03 19 - Hazardous - Flue-gas dust containing hazardous substances</t>
  </si>
  <si>
    <t xml:space="preserve">    10 03 20 - Non-Hazardous - Flue-gas dust other than those mentioned in 10 03 19</t>
  </si>
  <si>
    <t xml:space="preserve">    10 03 21 - Hazardous - Other particulates and dust (including ball-mill dust) containing hazardous substances</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</si>
  <si>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</si>
  <si>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</si>
  <si>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</si>
  <si>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</si>
  <si>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</si>
  <si>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</si>
  <si>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 xml:space="preserve">    10 03 28 - Non-Hazardous - Wastes from cooling-water treatment other than those mentioned in 10 03 27</t>
  </si>
  <si>
    <t xml:space="preserve">    10 03 29 - Hazardous - Wastes from treatment of salt slags and black drosses containing hazardous substances</t>
  </si>
  <si>
    <t xml:space="preserve">    10 03 30 - Non-Hazardous - Wastes from treatment of salt slags and black drosses other than those mentioned in 10 03 29</t>
  </si>
  <si>
    <t xml:space="preserve">    10 03 99 - Non-Hazardous - Wastes not otherwise specified</t>
  </si>
  <si>
    <t xml:space="preserve">  10 04 - Wastes from lead thermal metallurgy</t>
  </si>
  <si>
    <t xml:space="preserve">    10 04 01 - Hazardous - Slags from primary and secondary production</t>
  </si>
  <si>
    <t xml:space="preserve">    10 04 02 - Hazardous - Dross and skimmings from primary and secondary production</t>
  </si>
  <si>
    <t xml:space="preserve">    10 04 03 - Hazardous - Calcium arsenate</t>
  </si>
  <si>
    <t xml:space="preserve">    10 04 04 - Hazardous - Flue-gas dust</t>
  </si>
  <si>
    <t xml:space="preserve">    10 04 05 - Hazardous - Other particulates and dust</t>
  </si>
  <si>
    <t xml:space="preserve">    10 04 06 - Hazardous - Solid wastes from gas treatment</t>
  </si>
  <si>
    <t xml:space="preserve">    10 04 07 - Hazardous - Sludges and filter cakes from gas treatment</t>
  </si>
  <si>
    <t xml:space="preserve">    10 04 09 - Hazardous - Wastes from cooling-water treatment containing oil</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</si>
  <si>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</si>
  <si>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</si>
  <si>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</si>
  <si>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 xml:space="preserve">    10 05 01 - Non-Hazardous - Slags from primary and secondary production</t>
  </si>
  <si>
    <t xml:space="preserve">    10 05 03 - Hazardous - Flue-gas dust</t>
  </si>
  <si>
    <t xml:space="preserve">    10 05 04 - Non-Hazardous - Other particulates and dust</t>
  </si>
  <si>
    <t xml:space="preserve">    10 05 05 - Hazardous - Solid waste from gas treatment</t>
  </si>
  <si>
    <t xml:space="preserve">    10 05 06 - Hazardous - Sludges and filter cakes from gas treatment</t>
  </si>
  <si>
    <t xml:space="preserve">    10 05 08 - Hazardous - Wastes from cooling-water treatment containing oil</t>
  </si>
  <si>
    <t xml:space="preserve">    10 05 09 - Non-Hazardous - Wastes from cooling-water treatment other than those mentioned in 10 05 08</t>
  </si>
  <si>
    <t xml:space="preserve">    10 05 10 - Hazardous - Dross and skimmings that are flammable or emit, upon contact with water, flammable gases in hazardous quantities</t>
  </si>
  <si>
    <t xml:space="preserve">    10 05 11 - Non-Hazardous - Dross and skimmings other than those mentioned in 10 05 10</t>
  </si>
  <si>
    <t xml:space="preserve">    10 05 99 - Non-Hazardous - Wastes not otherwise specified</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</si>
  <si>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</si>
  <si>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</si>
  <si>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</si>
  <si>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</si>
  <si>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 xml:space="preserve">    10 06 04 - Non-Hazardous - Other particulates and dust</t>
  </si>
  <si>
    <t xml:space="preserve">    10 06 06 - Hazardous - Solid wastes from gas treatment</t>
  </si>
  <si>
    <t xml:space="preserve">    10 06 07 - Hazardous - Sludges and filter cakes from gas treatment</t>
  </si>
  <si>
    <t xml:space="preserve">    10 06 09 - Hazardous - Wastes from cooling-water treatment containing oil</t>
  </si>
  <si>
    <t xml:space="preserve">    10 06 10 - Non-Hazardous - Wastes from cooling-water treatment other than those mentioned in 10 06 09</t>
  </si>
  <si>
    <t xml:space="preserve">    10 06 99 - Non-Hazardous - Wastes not otherwise specified</t>
  </si>
  <si>
    <t xml:space="preserve">  10 07 - Wastes from silver, gold and platinum thermal metallurgy</t>
  </si>
  <si>
    <t xml:space="preserve">    10 07 01 - Non-Hazardous - Slags from primary and secondary production</t>
  </si>
  <si>
    <t xml:space="preserve">    10 07 02 - Non-Hazardous - Dross and skimmings from primary and secondary production</t>
  </si>
  <si>
    <t xml:space="preserve">    10 07 03 - Non-Hazardous - Solid wastes from gas treatment</t>
  </si>
  <si>
    <t xml:space="preserve">    10 07 04 - Non-Hazardous - Other particulates and dust</t>
  </si>
  <si>
    <t xml:space="preserve">    10 07 05 - Non-Hazardous - Sludges and filter cakes from gas treatment</t>
  </si>
  <si>
    <t xml:space="preserve">    10 07 07 - Hazardous - Wastes from cooling-water treatment containing oil</t>
  </si>
  <si>
    <t xml:space="preserve">    10 07 08 - Non-Hazardous - Wastes from cooling-water treatment other than those mentioned in 10 07 07</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</si>
  <si>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</si>
  <si>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</si>
  <si>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</si>
  <si>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</si>
  <si>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</si>
  <si>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</si>
  <si>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</si>
  <si>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</si>
  <si>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</si>
  <si>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</si>
  <si>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 xml:space="preserve">    10 08 15 - Hazardous - Flue-gas dust containing hazardous substances</t>
  </si>
  <si>
    <t xml:space="preserve">    10 08 16 - Non-Hazardous - Flue-gas dust other than those mentioned in 10 08 15</t>
  </si>
  <si>
    <t xml:space="preserve">    10 08 17 - Hazardous - Sludges and filter cakes from flue-gas treatment containing hazardous substances</t>
  </si>
  <si>
    <t xml:space="preserve">    10 08 18 - Non-Hazardous - Sludges and filter cakes from flue-gas treatment other than those mentioned in 10 08 17</t>
  </si>
  <si>
    <t xml:space="preserve">    10 08 19 - Hazardous - Wastes from cooling-water treatment containing oil</t>
  </si>
  <si>
    <t xml:space="preserve">    10 08 20 - Non-Hazardous - Wastes from cooling-water treatment other than those mentioned in 10 08 19</t>
  </si>
  <si>
    <t xml:space="preserve">    10 08 99 - Non-Hazardous - Wastes not otherwise specified</t>
  </si>
  <si>
    <t xml:space="preserve">  10 09 - Wastes from casting of ferrous pieces</t>
  </si>
  <si>
    <t xml:space="preserve">    10 09 03 - Non-Hazardous - Furnace slag</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</si>
  <si>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</si>
  <si>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</si>
  <si>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</si>
  <si>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</si>
  <si>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</si>
  <si>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</si>
  <si>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</si>
  <si>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</si>
  <si>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</si>
  <si>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</si>
  <si>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 xml:space="preserve">    10 09 15 - Hazardous - Waste crack-indicating agent containing hazardous substances</t>
  </si>
  <si>
    <t xml:space="preserve">    10 09 16 - Non-Hazardous - Waste crack-indicating agent other than those mentioned in 10 09 15</t>
  </si>
  <si>
    <t xml:space="preserve">    10 09 99 - Non-Hazardous - Wastes not otherwise specified</t>
  </si>
  <si>
    <t xml:space="preserve">  10 10 - Wastes from casting of non-ferrous pieces</t>
  </si>
  <si>
    <t xml:space="preserve">    10 10 03 - Non-Hazardous - Furnace slag</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</si>
  <si>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</si>
  <si>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</si>
  <si>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 xml:space="preserve">    10 10 07 - Hazardous - Casting cores and moulds which have undergone pouring, containing hazardous substances</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</si>
  <si>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</si>
  <si>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</si>
  <si>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</si>
  <si>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 xml:space="preserve">    10 10 11 - Hazardous - Other particulates containing hazardous substances</t>
  </si>
  <si>
    <t xml:space="preserve">    10 10 12 - Non-Hazardous - Other particulates other than those mentioned in 10 10 11</t>
  </si>
  <si>
    <t xml:space="preserve">    10 10 13 - Hazardous - Waste binders containing hazardous substances</t>
  </si>
  <si>
    <t xml:space="preserve">    10 10 14 - Non-Hazardous - Waste binders other than those mentioned in 10 10 13</t>
  </si>
  <si>
    <t xml:space="preserve">    10 10 15 - Hazardous - Waste crack-indicating agent containing hazardous substances</t>
  </si>
  <si>
    <t xml:space="preserve">    10 10 16 - Non-Hazardous - Waste crack-indicating agent other than those mentioned in 10 10 15</t>
  </si>
  <si>
    <t xml:space="preserve">    10 10 99 - Non-Hazardous - Wastes not otherwise specified</t>
  </si>
  <si>
    <t xml:space="preserve">  10 11 - Wastes from manufacture of glass and glass products</t>
  </si>
  <si>
    <t xml:space="preserve">    10 11 03 - Non-Hazardous - Waste glass-based fibrous materials</t>
  </si>
  <si>
    <t xml:space="preserve">    10 11 05 - Non-Hazardous - Particulates and dust</t>
  </si>
  <si>
    <t xml:space="preserve">    10 11 09 - Hazardous - Waste preparation mixture before thermal processing, containing hazardous substances</t>
  </si>
  <si>
    <t xml:space="preserve">    10 11 10 - Non-Hazardous - Waste preparation mixture before thermal processing, other than those mentioned in 10 11 09</t>
  </si>
  <si>
    <t xml:space="preserve">    10 11 11 - Hazardous - Waste glass in small particles and glass powder containing heavy metals (for example from cathode ray tubes)</t>
  </si>
  <si>
    <t xml:space="preserve">    10 11 12 - Non-Hazardous - Waste glass other than those mentioned in 10 11 11</t>
  </si>
  <si>
    <t xml:space="preserve">    10 11 13 - Hazardous - Glass-polishing and -grinding sludge containing hazardous substances</t>
  </si>
  <si>
    <t xml:space="preserve">    10 11 14 - Non-Hazardous - Glass-polishing and -grinding sludge other than those mentioned in 10 11 13</t>
  </si>
  <si>
    <t xml:space="preserve">    10 11 15 - Hazardous - Solid wastes from flue-gas treatment containing hazardous substances</t>
  </si>
  <si>
    <t xml:space="preserve">    10 11 16 - Non-Hazardous - Solid wastes from flue-gas treatment other than those mentioned in 10 11 15</t>
  </si>
  <si>
    <t xml:space="preserve">    10 11 17 - Hazardous - Sludges and filter cakes from flue-gas treatment containing hazardous substances</t>
  </si>
  <si>
    <t xml:space="preserve">    10 11 18 - Non-Hazardous - Sludges and filter cakes from flue-gas treatment other than those mentioned in 10 11 17</t>
  </si>
  <si>
    <t xml:space="preserve">    10 11 19 - Hazardous - Solid wastes from on-site effluent treatment containing hazardous substances</t>
  </si>
  <si>
    <t xml:space="preserve">    10 11 20 - Non-Hazardous - Solid wastes from on-site effluent treatment other than those mentioned in 10 11 19</t>
  </si>
  <si>
    <t xml:space="preserve">    10 11 99 - Non-Hazardous - Wastes not otherwise specified</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</si>
  <si>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</si>
  <si>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</si>
  <si>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</si>
  <si>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</si>
  <si>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 xml:space="preserve">    10 12 06 - Non-Hazardous - Discarded moulds</t>
  </si>
  <si>
    <t xml:space="preserve">    10 12 08 - Non-Hazardous - Waste ceramics, bricks, tiles and construction products (after thermal processing)</t>
  </si>
  <si>
    <t xml:space="preserve">    10 12 09 - Hazardous - Solid wastes from gas treatment containing hazardous substances</t>
  </si>
  <si>
    <t xml:space="preserve">    10 12 10 - Non-Hazardous - Solid wastes from gas treatment other than those mentioned in 10 12 09</t>
  </si>
  <si>
    <t xml:space="preserve">    10 12 11 - Hazardous - Wastes from glazing containing heavy metals</t>
  </si>
  <si>
    <t xml:space="preserve">    10 12 12 - Non-Hazardous - Wastes from glazing other than those mentioned in 10 12 11</t>
  </si>
  <si>
    <t xml:space="preserve">    10 12 13 - Non-Hazardous - Sludge from on-site effluent treatment</t>
  </si>
  <si>
    <t xml:space="preserve">    10 12 99 - Non-Hazardous - Wastes not otherwise specified</t>
  </si>
  <si>
    <t xml:space="preserve">  10 13 - Wastes from manufacture of cement, lime and plaster and articles and products made from them</t>
  </si>
  <si>
    <t xml:space="preserve">    10 13 01 - Non-Hazardous - Waste preparation mixture before thermal processing</t>
  </si>
  <si>
    <t xml:space="preserve">    10 13 04 - Non-Hazardous - Wastes from calcination and hydration of lime</t>
  </si>
  <si>
    <t xml:space="preserve">    10 13 06 - Non-Hazardous - Particulates and dust (except 10 13 12 and 10 13 13)</t>
  </si>
  <si>
    <t xml:space="preserve">    10 13 07 - Non-Hazardous - Sludges and filter cakes from gas treatment</t>
  </si>
  <si>
    <t xml:space="preserve">    10 13 09 - Hazardous - Wastes from asbestos-cement manufacture containing asbestos</t>
  </si>
  <si>
    <t xml:space="preserve">    10 13 10 - Non-Hazardous - Wastes from asbestos-cement manufacture other than those mentioned in 10 13 09</t>
  </si>
  <si>
    <t xml:space="preserve">    10 13 11 - Non-Hazardous - Wastes from cement-based composite materials other than those mentioned in 10 13 09 and 10 13 10</t>
  </si>
  <si>
    <t xml:space="preserve">    10 13 12 - Hazardous - Solid wastes from gas treatment containing hazardous substances</t>
  </si>
  <si>
    <t xml:space="preserve">    10 13 13 - Non-Hazardous - Solid wastes from gas treatment other than those mentioned in 10 13 12</t>
  </si>
  <si>
    <t xml:space="preserve">    10 13 14 - Non-Hazardous - Waste concrete and concrete sludge</t>
  </si>
  <si>
    <t xml:space="preserve">    10 13 99 - Non-Hazardous - Wastes not otherwise specified</t>
  </si>
  <si>
    <t xml:space="preserve">  10 14 - Waste from crematoria</t>
  </si>
  <si>
    <t xml:space="preserve">    10 14 01 - Hazardous - Waste from gas cleaning containing mercury</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</si>
  <si>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</si>
  <si>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</si>
  <si>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 xml:space="preserve">    11 01 06 - Hazardous - Acids not otherwise specified</t>
  </si>
  <si>
    <t xml:space="preserve">    11 01 07 - Hazardous - Pickling bases</t>
  </si>
  <si>
    <t xml:space="preserve">    11 01 08 - Hazardous - Phosphatising sludges</t>
  </si>
  <si>
    <t xml:space="preserve">    11 01 09 - Hazardous - Sludges and filter cakes containing hazardous substances</t>
  </si>
  <si>
    <t xml:space="preserve">    11 01 10 - Non-Hazardous - Sludges and filter cakes other than those mentioned in 11 01 09</t>
  </si>
  <si>
    <t xml:space="preserve">    11 01 11 - Hazardous - Aqueous rinsing liquids containing hazardous substances</t>
  </si>
  <si>
    <t xml:space="preserve">    11 01 12 - Non-Hazardous - Aqueous rinsing liquids other than those mentioned in 11 01 11</t>
  </si>
  <si>
    <t xml:space="preserve">    11 01 13 - Hazardous - Degreasing wastes containing hazardous substances</t>
  </si>
  <si>
    <t xml:space="preserve">    11 01 14 - Non-Hazardous - Degreasing wastes other than those mentioned in 11 01 13</t>
  </si>
  <si>
    <t xml:space="preserve">    11 01 15 - Hazardous - Eluate and sludges from membrane systems or ion exchange systems containing hazardous substances</t>
  </si>
  <si>
    <t xml:space="preserve">    11 01 16 - Hazardous - Saturated or spent ion exchange resins</t>
  </si>
  <si>
    <t xml:space="preserve">    11 01 98 - Hazardous - Other wastes containing hazardous substances</t>
  </si>
  <si>
    <t xml:space="preserve">    11 01 99 - Non-Hazardous - Wastes not otherwise specified</t>
  </si>
  <si>
    <t xml:space="preserve">  11 02 - Wastes from non-ferrous hydrometallurgical processes</t>
  </si>
  <si>
    <t xml:space="preserve">    11 02 02 - Hazardous - Sludges from zinc hydrometallurgy (including jarosite, goethite)</t>
  </si>
  <si>
    <t xml:space="preserve">    11 02 03 - Non-Hazardous - Wastes from the production of anodes for aqueous electrolytical processes</t>
  </si>
  <si>
    <t xml:space="preserve">    11 02 05 - Hazardous - Wastes from copper hydrometallurgical processes containing hazardous substances</t>
  </si>
  <si>
    <t xml:space="preserve">    11 02 06 - Non-Hazardous - Wastes from copper hydrometallurgical processes other than those mentioned in 11 02 05</t>
  </si>
  <si>
    <t xml:space="preserve">    11 02 07 - Hazardous - Other wastes containing hazardous substances</t>
  </si>
  <si>
    <t xml:space="preserve">    11 02 99 - Non-Hazardous - Wastes not otherwise specified</t>
  </si>
  <si>
    <t xml:space="preserve">  11 03 - Sludges and solids from tempering processes</t>
  </si>
  <si>
    <t xml:space="preserve">    11 03 01 - Hazardous - Wastes containing cyanide</t>
  </si>
  <si>
    <t xml:space="preserve">    11 03 02 - Hazardous - Other wastes</t>
  </si>
  <si>
    <t xml:space="preserve">  11 05 - Wastes from hot galvanising processes</t>
  </si>
  <si>
    <t xml:space="preserve">    11 05 01 - Non-Hazardous - Hard zinc</t>
  </si>
  <si>
    <t xml:space="preserve">    11 05 02 - Non-Hazardous - Zinc ash</t>
  </si>
  <si>
    <t xml:space="preserve">    11 05 03 - Hazardous - Solid wastes from gas treatment</t>
  </si>
  <si>
    <t xml:space="preserve">    11 05 04 - Hazardous - Spent flux</t>
  </si>
  <si>
    <t xml:space="preserve">    11 05 99 - Non-Hazardous - Wastes not otherwise specified</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</si>
  <si>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</si>
  <si>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</si>
  <si>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</si>
  <si>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 xml:space="preserve">    12 01 03 - Non-Hazardous - Non-ferrous metal filings and turnings</t>
  </si>
  <si>
    <t xml:space="preserve">    12 01 04 - Non-Hazardous - Non-ferrous metal dust and particles</t>
  </si>
  <si>
    <t xml:space="preserve">    12 01 05 - Non-Hazardous - Plastics shavings and turnings</t>
  </si>
  <si>
    <t xml:space="preserve">    12 01 06 - Hazardous - Mineral-based machining oils containing halogens (except emulsions and solutions)</t>
  </si>
  <si>
    <t xml:space="preserve">    12 01 07 - Hazardous - Mineral-based machining oils free of halogens (except emulsions and solutions)</t>
  </si>
  <si>
    <t xml:space="preserve">    12 01 08 - Hazardous - Machining emulsions and solutions containing halogens</t>
  </si>
  <si>
    <t xml:space="preserve">    12 01 09 - Hazardous - Machining emulsions and solutions free of halogens</t>
  </si>
  <si>
    <t xml:space="preserve">    12 01 10 - Hazardous - Synthetic machining oils</t>
  </si>
  <si>
    <t xml:space="preserve">    12 01 12 - Hazardous - Spent waxes and fats</t>
  </si>
  <si>
    <t xml:space="preserve">    12 01 13 - Non-Hazardous - Welding wastes</t>
  </si>
  <si>
    <t xml:space="preserve">    12 01 14 - Hazardous - Machining sludges containing hazardous substances</t>
  </si>
  <si>
    <t xml:space="preserve">    12 01 15 - Non-Hazardous - Machining sludges other than those mentioned in 12 01 14</t>
  </si>
  <si>
    <t xml:space="preserve">    12 01 16 - Hazardous - Waste blasting material containing hazardous substances</t>
  </si>
  <si>
    <t xml:space="preserve">    12 01 17 - Non-Hazardous - Waste blasting material other than those mentioned in 12 01 16</t>
  </si>
  <si>
    <t xml:space="preserve">    12 01 18 - Hazardous - Metal sludge (grinding, honing and lapping sludge) containing oil</t>
  </si>
  <si>
    <t xml:space="preserve">    12 01 19 - Hazardous - Readily biodegradable machining oil</t>
  </si>
  <si>
    <t xml:space="preserve">    12 01 20 - Hazardous - Spent grinding bodies and grinding materials containing hazardous substances</t>
  </si>
  <si>
    <t xml:space="preserve">    12 01 21 - Non-Hazardous - Spent grinding bodies and grinding materials other than those mentioned in 12 01 20</t>
  </si>
  <si>
    <t xml:space="preserve">    12 01 99 - Non-Hazardous - Wastes not otherwise specified</t>
  </si>
  <si>
    <t xml:space="preserve">  12 03 - Wastes from water and steam degreasing processes (except 11)</t>
  </si>
  <si>
    <t xml:space="preserve">    12 03 01 - Hazardous - Aqueous washing liquids</t>
  </si>
  <si>
    <t xml:space="preserve">    12 03 02 - Hazardous - Steam degreasing wastes</t>
  </si>
  <si>
    <t xml:space="preserve">  13 01 - Waste hydraulic oils</t>
  </si>
  <si>
    <t xml:space="preserve">    13 01 01 - Hazardous - Hydraulic oils, containing PCBs</t>
  </si>
  <si>
    <t xml:space="preserve">    13 01 04 - Hazardous - Chlorinated emulsions</t>
  </si>
  <si>
    <t xml:space="preserve">    13 01 05 - Hazardous - Non-chlorinated emulsions</t>
  </si>
  <si>
    <t xml:space="preserve">    13 01 09 - Hazardous - Mineral-based chlorinated hydraulic oils</t>
  </si>
  <si>
    <t xml:space="preserve">    13 01 10 - Hazardous - Mineral based non-chlorinated hydraulic oils</t>
  </si>
  <si>
    <t xml:space="preserve">    13 01 11 - Hazardous - Synthetic hydraulic oils</t>
  </si>
  <si>
    <t xml:space="preserve">    13 01 12 - Hazardous - Readily biodegradable hydraulic oils</t>
  </si>
  <si>
    <t xml:space="preserve">    13 01 13 - Hazardous - Other hydraulic oils</t>
  </si>
  <si>
    <t xml:space="preserve">  13 02 - Waste engine, gear and lubricating oils</t>
  </si>
  <si>
    <t xml:space="preserve">    13 02 04 - Hazardous - Mineral-based chlorinated engine, gear and lubricating oils</t>
  </si>
  <si>
    <t xml:space="preserve">    13 02 05 - Hazardous - Mineral-based non-chlorinated engine, gear and lubricating oils</t>
  </si>
  <si>
    <t xml:space="preserve">    13 02 06 - Hazardous - Synthetic engine, gear and lubricating oils</t>
  </si>
  <si>
    <t xml:space="preserve">    13 02 07 - Hazardous - Readily biodegradable engine, gear and lubricating oils</t>
  </si>
  <si>
    <t xml:space="preserve">    13 02 08 - Hazardous - Other engine, gear and lubricating oils</t>
  </si>
  <si>
    <t xml:space="preserve">  13 03 - Waste insulating and heat transmission oils</t>
  </si>
  <si>
    <t xml:space="preserve">    13 03 01 - Hazardous - Insulating or heat transmission oils containing PCBs</t>
  </si>
  <si>
    <t xml:space="preserve">    13 03 06 - Hazardous - Mineral-based chlorinated insulating and heat transmission oils other than those mentioned in 13 03 01</t>
  </si>
  <si>
    <t xml:space="preserve">    13 03 07 - Hazardous - Mineral-based non-chlorinated insulating and heat transmission oils</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</si>
  <si>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</si>
  <si>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</si>
  <si>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</si>
  <si>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</si>
  <si>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 xml:space="preserve">    13 04 01 - Hazardous - Bilge oils from inland navigation</t>
  </si>
  <si>
    <t xml:space="preserve">    13 04 02 - Hazardous - Bilge oils from jetty sewers</t>
  </si>
  <si>
    <t xml:space="preserve">    13 04 03 - Hazardous - Bilge oils from other navigation</t>
  </si>
  <si>
    <t xml:space="preserve">  13 05 - Oil/water separator contents</t>
  </si>
  <si>
    <t xml:space="preserve">    13 05 01 - Hazardous - Solids from grit chambers and oil/water separators</t>
  </si>
  <si>
    <t xml:space="preserve">    13 05 02 - Hazardous - Sludges from oil/water separators</t>
  </si>
  <si>
    <t xml:space="preserve">    13 05 03 - Hazardous - Interceptor sludges</t>
  </si>
  <si>
    <t xml:space="preserve">    13 05 06 - Hazardous - Oil from oil/water separators</t>
  </si>
  <si>
    <t xml:space="preserve">    13 05 07 - Hazardous - Oily water from oil/water separators</t>
  </si>
  <si>
    <t xml:space="preserve">    13 05 08 - Hazardous - Mixtures of wastes from grit chambers and oil/water separators</t>
  </si>
  <si>
    <t xml:space="preserve">  13 07 - Wastes of liquid fuels</t>
  </si>
  <si>
    <t xml:space="preserve">    13 07 01 - Hazardous - Fuel oil and diesel</t>
  </si>
  <si>
    <t xml:space="preserve">    13 07 02 - Hazardous - Petrol</t>
  </si>
  <si>
    <t xml:space="preserve">    13 07 03 - Hazardous - Other fuels (including mixtures)</t>
  </si>
  <si>
    <t xml:space="preserve">  13 08 - Oil wastes not otherwise specified</t>
  </si>
  <si>
    <t xml:space="preserve">    13 08 01 - Hazardous - Desalter sludges or emulsions</t>
  </si>
  <si>
    <t xml:space="preserve">    13 08 02 - Hazardous - Other emulsions</t>
  </si>
  <si>
    <t xml:space="preserve">    13 08 99 - Hazardous - Wastes not otherwise specified</t>
  </si>
  <si>
    <t xml:space="preserve">  14 06 - Waste organic solvents, refrigerants and foam/aerosol propellants</t>
  </si>
  <si>
    <t xml:space="preserve">    14 06 01 - Hazardous - Chlorofluorocarbons, HCFC, HFC</t>
  </si>
  <si>
    <t xml:space="preserve">    14 06 02 - Hazardous - Other halogenated solvents and solvent mixtures</t>
  </si>
  <si>
    <t xml:space="preserve">    14 06 03 - Hazardous - Other solvents and solvent mixtures</t>
  </si>
  <si>
    <t xml:space="preserve">    14 06 04 - Hazardous - Sludges or solid wastes containing halogenated solvents</t>
  </si>
  <si>
    <t xml:space="preserve">    14 06 05 - Hazardous - Sludges or solid wastes containing other solvents</t>
  </si>
  <si>
    <t xml:space="preserve">  15 01 - Packaging (including separately collected municipal packaging waste)</t>
  </si>
  <si>
    <t xml:space="preserve">    15 01 01 - Non-Hazardous - Paper and cardboard packaging</t>
  </si>
  <si>
    <t xml:space="preserve">    15 01 02 - Non-Hazardous - Plastic packaging</t>
  </si>
  <si>
    <t xml:space="preserve">    15 01 03 - Non-Hazardous - Wooden packaging</t>
  </si>
  <si>
    <t xml:space="preserve">    15 01 04 - Non-Hazardous - Metallic packaging</t>
  </si>
  <si>
    <t xml:space="preserve">    15 01 05 - Non-Hazardous - Composite packaging</t>
  </si>
  <si>
    <t xml:space="preserve">    15 01 06 - Non-Hazardous - Mixed packaging</t>
  </si>
  <si>
    <t xml:space="preserve">    15 01 07 - Non-Hazardous - Glass packaging</t>
  </si>
  <si>
    <t xml:space="preserve">    15 01 09 - Non-Hazardous - Textile packaging</t>
  </si>
  <si>
    <t xml:space="preserve">    15 01 10 - Hazardous - Packaging containing residues of or contaminated by hazardous substances</t>
  </si>
  <si>
    <t xml:space="preserve">    15 01 11 - Hazardous - Metallic packaging containing a hazardous solid porous matrix (for example asbestos), including empty pressure containers</t>
  </si>
  <si>
    <t xml:space="preserve">  15 02 - Absorbents, filter materials, wiping cloths and protective clothing</t>
  </si>
  <si>
    <t xml:space="preserve">    15 02 02 - Hazardous - Absorbents, filter materials (including oil filters not otherwise specified), wiping cloths, protective clothing contaminated by hazardous substances</t>
  </si>
  <si>
    <t xml:space="preserve">    15 02 03 - Non-Hazardous - Absorbents, filter materials, wiping cloths and protective clothing other than those mentioned in 15 02 02</t>
  </si>
  <si>
    <t xml:space="preserve">  16 01 - End-of-life vehicles from different means of transport (including off-road machinery) and wastes from dismantling of end-of-life vehicles and vehicle maintenance (except 13, 14, 16 06 and 16 08)</t>
  </si>
  <si>
    <t xml:space="preserve">    16 01 03 - Non-Hazardous - End-of-life tyres</t>
  </si>
  <si>
    <t xml:space="preserve">    16 01 04 - Hazardous - End-of-life vehicles</t>
  </si>
  <si>
    <t xml:space="preserve">    16 01 06 - Non-Hazardous - End-of-life vehicles, containing neither liquids nor other hazardous components</t>
  </si>
  <si>
    <t xml:space="preserve">    16 01 07 - Hazardous - Oil filters</t>
  </si>
  <si>
    <t xml:space="preserve">    16 01 08 - Hazardous - Components containing mercury</t>
  </si>
  <si>
    <t xml:space="preserve">    16 01 09 - Hazardous - Components containing PCBs</t>
  </si>
  <si>
    <t xml:space="preserve">    16 01 10 - Hazardous - Explosive components (for example air bags)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</si>
  <si>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</si>
  <si>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</si>
  <si>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</si>
  <si>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</si>
  <si>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 xml:space="preserve">    16 01 15 - Non-Hazardous - Antifreeze fluids other than those mentioned in 16 01 14</t>
  </si>
  <si>
    <t xml:space="preserve">    16 01 16 - Non-Hazardous - Tanks for liquefied gas</t>
  </si>
  <si>
    <t xml:space="preserve">    16 01 17 - Non-Hazardous - Ferrous metal</t>
  </si>
  <si>
    <t xml:space="preserve">    16 01 18 - Non-Hazardous - Non-ferrous metal</t>
  </si>
  <si>
    <t xml:space="preserve">    16 01 19 - Non-Hazardous - Plastic</t>
  </si>
  <si>
    <t xml:space="preserve">    16 01 20 - Non-Hazardous - Glass</t>
  </si>
  <si>
    <t xml:space="preserve">    16 01 21 - Hazardous - Hazardous components other than those mentioned in 16 01 07 to 16 01 11 and 16 01 13 and 16 01 14</t>
  </si>
  <si>
    <t xml:space="preserve">    16 01 22 - Non-Hazardous - Components not otherwise specified</t>
  </si>
  <si>
    <t xml:space="preserve">    16 01 99 - Non-Hazardous - Wastes not otherwise specified</t>
  </si>
  <si>
    <t xml:space="preserve">  16 02 - Wastes from electrical and electronic equipment</t>
  </si>
  <si>
    <t xml:space="preserve">    16 02 09 - Hazardous - Transformers and capacitors containing PCBs</t>
  </si>
  <si>
    <t xml:space="preserve">    16 02 10 - Hazardous - Discarded equipment containing or contaminated by PCBs other than those mentioned in 16 02 09</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</si>
  <si>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</si>
  <si>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</si>
  <si>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</si>
  <si>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 xml:space="preserve">    16 02 14 - Non-Hazardous - Discarded equipment other than those mentioned in 16 02 09 to 16 02 13</t>
  </si>
  <si>
    <t xml:space="preserve">    16 02 15 - Hazardous - Hazardous components removed from discarded equipment</t>
  </si>
  <si>
    <t xml:space="preserve">    16 02 16 - Non-Hazardous - Components removed from discarded equipment other than those mentioned in 16 02 15</t>
  </si>
  <si>
    <t xml:space="preserve">  16 03 - Off-specification batches and unused products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</si>
  <si>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</si>
  <si>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</si>
  <si>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</si>
  <si>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</si>
  <si>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 xml:space="preserve">    16 03 07 - Hazardous - Metallic mercury</t>
  </si>
  <si>
    <t xml:space="preserve">  16 04 - Waste explosives</t>
  </si>
  <si>
    <t xml:space="preserve">    16 04 01 - Hazardous - Waste ammunition</t>
  </si>
  <si>
    <t xml:space="preserve">    16 04 02 - Hazardous - Fireworks wastes</t>
  </si>
  <si>
    <t xml:space="preserve">    16 04 03 - Hazardous - Other waste explosives</t>
  </si>
  <si>
    <t xml:space="preserve">  16 05 - Gases in pressure containers and discarded chemicals</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</si>
  <si>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</si>
  <si>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</si>
  <si>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</si>
  <si>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 xml:space="preserve">    16 05 07 - Hazardous - Discarded inorganic chemicals consisting of or containing hazardous substances</t>
  </si>
  <si>
    <t xml:space="preserve">    16 05 08 - Hazardous - Discarded organic chemicals consisting of or containing hazardous substances</t>
  </si>
  <si>
    <t xml:space="preserve">    16 05 09 - Non-Hazardous - Discarded chemicals other than those mentioned in 16 05 06, 16 05 07 or 16 05 08</t>
  </si>
  <si>
    <t xml:space="preserve">  16 06 - Batteries and accumulators</t>
  </si>
  <si>
    <t xml:space="preserve">    16 06 01 - Hazardous - Lead batteries</t>
  </si>
  <si>
    <t xml:space="preserve">    16 06 02 - Hazardous - Ni-Cd batteries</t>
  </si>
  <si>
    <t xml:space="preserve">    16 06 03 - Hazardous - Mercury-containing batteries</t>
  </si>
  <si>
    <t xml:space="preserve">    16 06 04 - Non-Hazardous - Alkaline batteries (except 16 06 03)</t>
  </si>
  <si>
    <t xml:space="preserve">    16 06 05 - Non-Hazardous - Other batteries and accumulators</t>
  </si>
  <si>
    <t xml:space="preserve">    16 06 06 - Hazardous - Separately collected electrolyte from batteries and accumulators</t>
  </si>
  <si>
    <t xml:space="preserve">  16 07 - Wastes from transport tank, storage tank and barrel cleaning (except 05 and 13)</t>
  </si>
  <si>
    <t xml:space="preserve">    16 07 08 - Hazardous - Wastes containing oil</t>
  </si>
  <si>
    <t xml:space="preserve">    16 07 09 - Hazardous - Wastes containing other hazardous substances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</si>
  <si>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</si>
  <si>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</si>
  <si>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</si>
  <si>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</si>
  <si>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 xml:space="preserve">    16 08 03 - Non-Hazardous - Spent catalysts containing transition metals or transition metal compounds not otherwise specified</t>
  </si>
  <si>
    <t xml:space="preserve">    16 08 04 - Non-Hazardous - Spent fluid catalytic cracking catalysts (except 16 08 07)</t>
  </si>
  <si>
    <t xml:space="preserve">    16 08 05 - Hazardous - Spent catalysts containing phosphoric acid</t>
  </si>
  <si>
    <t xml:space="preserve">    16 08 06 - Hazardous - Spent liquids used as catalysts</t>
  </si>
  <si>
    <t xml:space="preserve">    16 08 07 - Hazardous - Spent catalysts contaminated with hazardous substances</t>
  </si>
  <si>
    <t xml:space="preserve">  16 09 - Oxidising substances</t>
  </si>
  <si>
    <t xml:space="preserve">    16 09 01 - Hazardous - Permanganates, for example potassium permanganate</t>
  </si>
  <si>
    <t xml:space="preserve">    16 09 02 - Hazardous - Chromates, for example potassium chromate, potassium or sodium dichromate</t>
  </si>
  <si>
    <t xml:space="preserve">    16 09 03 - Hazardous - Peroxides, for example hydrogen peroxide</t>
  </si>
  <si>
    <t xml:space="preserve">    16 09 04 - Hazardous - Oxidising substances, not otherwise specified</t>
  </si>
  <si>
    <t xml:space="preserve">  16 10 - Aqueous liquid wastes destined for off-site treatment</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</si>
  <si>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</si>
  <si>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</si>
  <si>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</si>
  <si>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 xml:space="preserve">    16 10 04 - Non-Hazardous - Aqueous concentrates other than those mentioned in 16 10 03</t>
  </si>
  <si>
    <t xml:space="preserve">  16 11 - Waste linings and refractories</t>
  </si>
  <si>
    <t xml:space="preserve">    16 11 01 - Hazardous - Carbon-based linings and refractories from metallurgical processes containing hazardous substances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</si>
  <si>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</si>
  <si>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</si>
  <si>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</si>
  <si>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</si>
  <si>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 xml:space="preserve">    16 11 06 - Non-Hazardous - Linings and refractories from non-metallurgical processes others than those mentioned in 16 11 05</t>
  </si>
  <si>
    <t xml:space="preserve">  17 01 - Concrete, bricks, tiles and ceramics</t>
  </si>
  <si>
    <t xml:space="preserve">    17 01 01 - Non-Hazardous - Concrete</t>
  </si>
  <si>
    <t xml:space="preserve">    17 01 02 - Non-Hazardous - Bricks</t>
  </si>
  <si>
    <t xml:space="preserve">    17 01 03 - Non-Hazardous - Tiles and ceramics</t>
  </si>
  <si>
    <t xml:space="preserve">    17 01 06 - Hazardous - Mixtures of, or separate fractions of concrete, bricks, tiles and ceramics containing hazardous substances</t>
  </si>
  <si>
    <t xml:space="preserve">    17 01 07 - Non-Hazardous - Mixtures of concrete, bricks, tiles and ceramics other than those mentioned in 17 01 06</t>
  </si>
  <si>
    <t xml:space="preserve">  17 02 - Wood, glass and plastic</t>
  </si>
  <si>
    <t xml:space="preserve">    17 02 01 - Non-Hazardous - Wood</t>
  </si>
  <si>
    <t xml:space="preserve">    17 02 02 - Non-Hazardous - Glass</t>
  </si>
  <si>
    <t xml:space="preserve">    17 02 03 - Non-Hazardous - Plastic</t>
  </si>
  <si>
    <t xml:space="preserve">    17 02 04 - Hazardous - Glass, plastic and wood containing or contaminated with hazardous substances</t>
  </si>
  <si>
    <t xml:space="preserve">  17 03 - Bituminous mixtures, coal tar and tarred products</t>
  </si>
  <si>
    <t xml:space="preserve">    17 03 01 - Hazardous - Bituminous mixtures containing coal tar</t>
  </si>
  <si>
    <t xml:space="preserve">    17 03 02 - Non-Hazardous - Bituminous mixtures other than those mentioned in 17 03 01</t>
  </si>
  <si>
    <t xml:space="preserve">    17 03 03 - Hazardous - Coal tar and tarred products</t>
  </si>
  <si>
    <t xml:space="preserve">  17 04 - Metals (including their alloys)</t>
  </si>
  <si>
    <t xml:space="preserve">    17 04 01 - Non-Hazardous - Copper, bronze, brass</t>
  </si>
  <si>
    <t xml:space="preserve">    17 04 02 - Non-Hazardous - Aluminium</t>
  </si>
  <si>
    <t xml:space="preserve">    17 04 03 - Non-Hazardous - Lead</t>
  </si>
  <si>
    <t xml:space="preserve">    17 04 04 - Non-Hazardous - Zinc</t>
  </si>
  <si>
    <t xml:space="preserve">    17 04 05 - Non-Hazardous - Iron and steel</t>
  </si>
  <si>
    <t xml:space="preserve">    17 04 06 - Non-Hazardous - Tin</t>
  </si>
  <si>
    <t xml:space="preserve">    17 04 07 - Non-Hazardous - Mixed metals</t>
  </si>
  <si>
    <t xml:space="preserve">    17 04 09 - Hazardous - Metal waste contaminated with hazardous substances</t>
  </si>
  <si>
    <t xml:space="preserve">    17 04 10 - Hazardous - Cables containing oil, coal tar and other hazardous substances</t>
  </si>
  <si>
    <t xml:space="preserve">    17 04 11 - Non-Hazardous - Cables other than those mentioned in 17 04 10</t>
  </si>
  <si>
    <t xml:space="preserve">  17 05 - Soil (including excavated soil from contaminated sites), stones and dredging spoil</t>
  </si>
  <si>
    <t xml:space="preserve">    17 05 03 - Hazardous - Soil and stones containing hazardous substances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</si>
  <si>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</si>
  <si>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</si>
  <si>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</si>
  <si>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</si>
  <si>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 xml:space="preserve">    17 05 08 - Non-Hazardous - Track ballast other than those mentioned in 17 05 07</t>
  </si>
  <si>
    <t xml:space="preserve">  17 06 - Insulation materials and asbestos-containing construction materials</t>
  </si>
  <si>
    <t xml:space="preserve">    17 06 01 - Hazardous - Insulation materials containing asbestos</t>
  </si>
  <si>
    <t xml:space="preserve">    17 06 03 - Hazardous - Other insulation materials consisting of or containing hazardous substances</t>
  </si>
  <si>
    <t xml:space="preserve">    17 06 04 - Non-Hazardous - Insulation materials other than those mentioned in 17 06 01 and 17 06 03</t>
  </si>
  <si>
    <t xml:space="preserve">    17 06 05 - Hazardous - Construction materials containing asbestos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</si>
  <si>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</si>
  <si>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</si>
  <si>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</si>
  <si>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</si>
  <si>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</si>
  <si>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</si>
  <si>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</si>
  <si>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</si>
  <si>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 xml:space="preserve">  18 01 - Wastes from natal care, diagnosis, treatment or prevention of disease in humans</t>
  </si>
  <si>
    <t xml:space="preserve">    18 01 01 - Non-Hazardous - Sharps (except 18 01 03)</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</si>
  <si>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</si>
  <si>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</si>
  <si>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</si>
  <si>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 xml:space="preserve">    18 01 06 - Hazardous - Chemicals consisting of or containing hazardous substances</t>
  </si>
  <si>
    <t xml:space="preserve">    18 01 07 - Non-Hazardous - Chemicals other than those mentioned in 18 01 06</t>
  </si>
  <si>
    <t xml:space="preserve">    18 01 08 - Hazardous - Cytotoxic and cytostatic medicines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</si>
  <si>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</si>
  <si>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</si>
  <si>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</si>
  <si>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 xml:space="preserve">    18 02 01 - Non-Hazardous - Sharps (except 18 02 02)</t>
  </si>
  <si>
    <t xml:space="preserve">    18 02 02 - Hazardous - Wastes whose collection and disposal is subject to special requirements in order to prevent infection</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</si>
  <si>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</si>
  <si>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</si>
  <si>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</si>
  <si>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 xml:space="preserve">    18 02 07 - Hazardous - Cytotoxic and cytostatic medicines</t>
  </si>
  <si>
    <t xml:space="preserve">    18 02 08 - Non-Hazardous - Medicines other than those mentioned in 18 02 07</t>
  </si>
  <si>
    <t xml:space="preserve">  19 01 - Wastes from incineration or pyrolysis of waste</t>
  </si>
  <si>
    <t xml:space="preserve">    19 01 02 - Non-Hazardous - Ferrous materials removed from bottom ash</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</si>
  <si>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</si>
  <si>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</si>
  <si>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</si>
  <si>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 xml:space="preserve">    19 01 10 - Hazardous - Spent activated carbon from flue-gas treatment</t>
  </si>
  <si>
    <t xml:space="preserve">    19 01 11 - Hazardous - Bottom ash and slag containing hazardous substances</t>
  </si>
  <si>
    <t xml:space="preserve">    19 01 12 - Non-Hazardous - Bottom ash and slag other than those mentioned in 19 01 11</t>
  </si>
  <si>
    <t xml:space="preserve">    19 01 13 - Hazardous - Fly ash containing hazardous substances</t>
  </si>
  <si>
    <t xml:space="preserve">    19 01 14 - Non-Hazardous - Fly ash other than those mentioned in 19 01 13</t>
  </si>
  <si>
    <t xml:space="preserve">    19 01 15 - Hazardous - Boiler dust containing hazardous substances</t>
  </si>
  <si>
    <t xml:space="preserve">    19 01 16 - Non-Hazardous - Boiler dust other than those mentioned in 19 01 15</t>
  </si>
  <si>
    <t xml:space="preserve">    19 01 17 - Hazardous - Pyrolysis wastes containing hazardous substances</t>
  </si>
  <si>
    <t xml:space="preserve">    19 01 18 - Non-Hazardous - Pyrolysis wastes other than those mentioned in 19 01 17</t>
  </si>
  <si>
    <t xml:space="preserve">    19 01 19 - Non-Hazardous - Sands from fluidised beds</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</si>
  <si>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</si>
  <si>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</si>
  <si>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</si>
  <si>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</si>
  <si>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</si>
  <si>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</si>
  <si>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</si>
  <si>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 xml:space="preserve">    19 02 08 - Hazardous - Liquid combustible wastes containing hazardous substances</t>
  </si>
  <si>
    <t xml:space="preserve">    19 02 09 - Hazardous - Solid combustible wastes containing hazardous substances</t>
  </si>
  <si>
    <t xml:space="preserve">    19 02 10 - Non-Hazardous - Combustible wastes other than those mentioned in 19 02 08 and 19 02 09</t>
  </si>
  <si>
    <t xml:space="preserve">    19 02 11 - Hazardous - Other wastes containing hazardous substances</t>
  </si>
  <si>
    <t xml:space="preserve">    19 02 99 - Non-Hazardous - Wastes not otherwise specified</t>
  </si>
  <si>
    <t xml:space="preserve">  19 03 - Stabilised/solidified wastes</t>
  </si>
  <si>
    <t xml:space="preserve">    19 03 04 - Hazardous - Wastes marked as hazardous, partly stabilised other than 19 03 08</t>
  </si>
  <si>
    <t xml:space="preserve">    19 03 05 - Non-Hazardous - Stabilised wastes other than those mentioned in 19 03 04</t>
  </si>
  <si>
    <t xml:space="preserve">    19 03 06 - Hazardous - Wastes marked as hazardous, solidified</t>
  </si>
  <si>
    <t xml:space="preserve">    19 03 07 - Non-Hazardous - Solidified wastes other than those mentioned in 19 03 06</t>
  </si>
  <si>
    <t xml:space="preserve">    19 03 08 - Hazardous - Partly stabilised mercury</t>
  </si>
  <si>
    <t xml:space="preserve">  19 04 - Vitrified waste and wastes from vitrification</t>
  </si>
  <si>
    <t xml:space="preserve">    19 04 01 - Non-Hazardous - Vitrified waste</t>
  </si>
  <si>
    <t xml:space="preserve">    19 04 02 - Hazardous - Fly ash and other flue-gas treatment wastes</t>
  </si>
  <si>
    <t xml:space="preserve">    19 04 03 - Hazardous - Non-vitrified solid phase</t>
  </si>
  <si>
    <t xml:space="preserve">    19 04 04 - Non-Hazardous - Aqueous liquid wastes from vitrified waste tempering</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</si>
  <si>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</si>
  <si>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</si>
  <si>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</si>
  <si>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 xml:space="preserve">    19 05 03 - Non-Hazardous - Off-specification compost</t>
  </si>
  <si>
    <t xml:space="preserve">    19 05 99 - Non-Hazardous - Wastes not otherwise specified</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</si>
  <si>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</si>
  <si>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</si>
  <si>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</si>
  <si>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 xml:space="preserve">    19 06 05 - Non-Hazardous - Liquor from anaerobic treatment of animal and vegetable waste</t>
  </si>
  <si>
    <t xml:space="preserve">    19 06 06 - Non-Hazardous - Digestate from anaerobic treatment of animal and vegetable waste</t>
  </si>
  <si>
    <t xml:space="preserve">    19 06 99 - Non-Hazardous - Wastes not otherwise specified</t>
  </si>
  <si>
    <t xml:space="preserve">  19 07 - Landfill leachate</t>
  </si>
  <si>
    <t xml:space="preserve">    19 07 02 - Hazardous - Landfill leachate containing hazardous substances</t>
  </si>
  <si>
    <t xml:space="preserve">    19 07 03 - Non-Hazardous - Landfill leachate other than those mentioned in 19 07 02</t>
  </si>
  <si>
    <t xml:space="preserve">  19 08 - Wastes from waste water treatment plants not otherwise specified</t>
  </si>
  <si>
    <t xml:space="preserve">    19 08 01 - Non-Hazardous - Screenings</t>
  </si>
  <si>
    <t xml:space="preserve">    19 08 02 - Non-Hazardous - Waste from desanding</t>
  </si>
  <si>
    <t xml:space="preserve">    19 08 05 - Non-Hazardous - Sludges from treatment of urban waste water</t>
  </si>
  <si>
    <t xml:space="preserve">    19 08 06 - Hazardous - Saturated or spent ion exchange resins</t>
  </si>
  <si>
    <t xml:space="preserve">    19 08 07 - Hazardous - Solutions and sludges from regeneration of ion exchangers</t>
  </si>
  <si>
    <t xml:space="preserve">    19 08 08 - Hazardous - Membrane system waste containing heavy metals</t>
  </si>
  <si>
    <t xml:space="preserve">    19 08 09 - Non-Hazardous - Grease and oil mixture from oil/water separation containing only edible oil and fats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</si>
  <si>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</si>
  <si>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</si>
  <si>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</si>
  <si>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</si>
  <si>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</si>
  <si>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 xml:space="preserve">    19 08 99 - Non-Hazardous - Wastes not otherwise specified</t>
  </si>
  <si>
    <t xml:space="preserve">  19 09 - Wastes from the preparation of water intended for human consumption or water for industrial use</t>
  </si>
  <si>
    <t xml:space="preserve">    19 09 01 - Non-Hazardous - Solid waste from primary filtration and screenings</t>
  </si>
  <si>
    <t xml:space="preserve">    19 09 02 - Non-Hazardous - Sludges from water clarification</t>
  </si>
  <si>
    <t xml:space="preserve">    19 09 03 - Non-Hazardous - Sludges from decarbonation</t>
  </si>
  <si>
    <t xml:space="preserve">    19 09 04 - Non-Hazardous - Spent activated carbon</t>
  </si>
  <si>
    <t xml:space="preserve">    19 09 05 - Non-Hazardous - Saturated or spent ion exchange resins</t>
  </si>
  <si>
    <t xml:space="preserve">    19 09 06 - Non-Hazardous - Solutions and sludges from regeneration of ion exchangers</t>
  </si>
  <si>
    <t xml:space="preserve">    19 09 99 - Non-Hazardous - Wastes not otherwise specified</t>
  </si>
  <si>
    <t xml:space="preserve">  19 10 - Wastes from shredding of metal-containing wastes</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</si>
  <si>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</si>
  <si>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</si>
  <si>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</si>
  <si>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</si>
  <si>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 xml:space="preserve">    19 10 05 - Hazardous - Other fractions containing hazardous substances</t>
  </si>
  <si>
    <t xml:space="preserve">    19 10 06 - Non-Hazardous - Other fractions other than those mentioned in 19 10 05</t>
  </si>
  <si>
    <t xml:space="preserve">  19 11 - Wastes from oil regeneration</t>
  </si>
  <si>
    <t xml:space="preserve">    19 11 01 - Hazardous - Spent filter clays</t>
  </si>
  <si>
    <t xml:space="preserve">    19 11 02 - Hazardous - Acid tars</t>
  </si>
  <si>
    <t xml:space="preserve">    19 11 03 - Hazardous - Aqueous liquid wastes</t>
  </si>
  <si>
    <t xml:space="preserve">    19 11 04 - Hazardous - Wastes from cleaning of fuel with bases</t>
  </si>
  <si>
    <t xml:space="preserve">    19 11 05 - Hazardous - Sludges from on-site effluent treatment containing hazardous substances</t>
  </si>
  <si>
    <t xml:space="preserve">    19 11 06 - Non-Hazardous - Sludges from on-site effluent treatment other than those mentioned in 19 11 05</t>
  </si>
  <si>
    <t xml:space="preserve">    19 11 07 - Hazardous - Wastes from flue-gas cleaning</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</si>
  <si>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</si>
  <si>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</si>
  <si>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</si>
  <si>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</si>
  <si>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 xml:space="preserve">    19 12 03 - Non-Hazardous - Non-ferrous metal</t>
  </si>
  <si>
    <t xml:space="preserve">    19 12 04 - Non-Hazardous - Plastic and rubber</t>
  </si>
  <si>
    <t xml:space="preserve">    19 12 05 - Non-Hazardous - Glass</t>
  </si>
  <si>
    <t xml:space="preserve">    19 12 06 - Hazardous - Wood containing hazardous substances</t>
  </si>
  <si>
    <t xml:space="preserve">    19 12 07 - Non-Hazardous - Wood other than that mentioned in 19 12 06</t>
  </si>
  <si>
    <t xml:space="preserve">    19 12 08 - Non-Hazardous - Textiles</t>
  </si>
  <si>
    <t xml:space="preserve">    19 12 09 - Non-Hazardous - Minerals (for example sand, stones)</t>
  </si>
  <si>
    <t xml:space="preserve">    19 12 10 - Non-Hazardous - Combustible waste (refuse derived fuel)</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</si>
  <si>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</si>
  <si>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</si>
  <si>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 xml:space="preserve">  19 13 - Wastes from soil and groundwater remediation</t>
  </si>
  <si>
    <t xml:space="preserve">    19 13 01 - Hazardous - Solid wastes from soil remediation containing hazardous substances</t>
  </si>
  <si>
    <t xml:space="preserve">    19 13 02 - Non-Hazardous - Solid wastes from soil remediation other than those mentioned in 19 13 01</t>
  </si>
  <si>
    <t xml:space="preserve">    19 13 03 - Hazardous - Sludges from soil remediation containing hazardous substances</t>
  </si>
  <si>
    <t xml:space="preserve">    19 13 04 - Non-Hazardous - Sludges from soil remediation other than those mentioned in 19 13 03</t>
  </si>
  <si>
    <t xml:space="preserve">    19 13 05 - Hazardous - Sludges from groundwater remediation containing hazardous substances</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</si>
  <si>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</si>
  <si>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</si>
  <si>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</si>
  <si>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 xml:space="preserve">  20 01 - Separately collected fractions (except 15 01)</t>
  </si>
  <si>
    <t xml:space="preserve">    20 01 01 - Non-Hazardous - Paper and cardboard</t>
  </si>
  <si>
    <t xml:space="preserve">    20 01 02 - Non-Hazardous - Glass</t>
  </si>
  <si>
    <t xml:space="preserve">    20 01 08 - Non-Hazardous - Biodegradable kitchen and canteen waste</t>
  </si>
  <si>
    <t xml:space="preserve">    20 01 10 - Non-Hazardous - Clothes</t>
  </si>
  <si>
    <t xml:space="preserve">    20 01 11 - Non-Hazardous - Textiles</t>
  </si>
  <si>
    <t xml:space="preserve">    20 01 13 - Hazardous - Solvents</t>
  </si>
  <si>
    <t xml:space="preserve">    20 01 14 - Hazardous - Acids</t>
  </si>
  <si>
    <t xml:space="preserve">    20 01 15 - Hazardous - Alkalines</t>
  </si>
  <si>
    <t xml:space="preserve">    20 01 17 - Hazardous - Photochemicals</t>
  </si>
  <si>
    <t xml:space="preserve">    20 01 19 - Hazardous - Pesticides</t>
  </si>
  <si>
    <t xml:space="preserve">    20 01 21 - Hazardous - Fluorescent tubes and other mercury-containing waste</t>
  </si>
  <si>
    <t xml:space="preserve">    20 01 23 - Hazardous - Discarded equipment containing chlorofluorocarbons</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</si>
  <si>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</si>
  <si>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</si>
  <si>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</si>
  <si>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 xml:space="preserve">    20 01 28 - Non-Hazardous - Paint, inks, adhesives and resins other than those mentioned in 20 01 27</t>
  </si>
  <si>
    <t xml:space="preserve">    20 01 29 - Hazardous - Detergents containing hazardous substances</t>
  </si>
  <si>
    <t xml:space="preserve">    20 01 30 - Non-Hazardous - Detergents other than those mentioned in 20 01 29</t>
  </si>
  <si>
    <t xml:space="preserve">    20 01 31 - Hazardous - Cytotoxic and cytostatic medicines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</si>
  <si>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</si>
  <si>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</si>
  <si>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 xml:space="preserve">    20 01 34 - Non-Hazardous - Batteries and accumulators other than those mentioned in 20 01 33</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</si>
  <si>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</si>
  <si>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</si>
  <si>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</si>
  <si>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 xml:space="preserve">    20 01 38 - Non-Hazardous - Wood other than that mentioned in 20 01 37</t>
  </si>
  <si>
    <t xml:space="preserve">    20 01 39 - Non-Hazardous - Plastics</t>
  </si>
  <si>
    <t xml:space="preserve">    20 01 40 - Non-Hazardous - Metals</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</si>
  <si>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</si>
  <si>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</si>
  <si>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</si>
  <si>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</si>
  <si>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 xml:space="preserve">    20 02 02 - Non-Hazardous - Soil and stones</t>
  </si>
  <si>
    <t xml:space="preserve">    20 02 03 - Non-Hazardous - Other non-biodegradable wastes</t>
  </si>
  <si>
    <t xml:space="preserve">  20 03 - Other municipal wastes</t>
  </si>
  <si>
    <t xml:space="preserve">    20 03 01 - Non-Hazardous - Mixed municipal waste</t>
  </si>
  <si>
    <t xml:space="preserve">    20 03 02 - Non-Hazardous - Waste from markets</t>
  </si>
  <si>
    <t xml:space="preserve">    20 03 03 - Non-Hazardous - Street-cleaning residues</t>
  </si>
  <si>
    <t xml:space="preserve">    20 03 04 - Non-Hazardous - Septic tank sludge</t>
  </si>
  <si>
    <t xml:space="preserve">    20 03 06 - Non-Hazardous - Waste from sewage cleaning</t>
  </si>
  <si>
    <t xml:space="preserve">    20 03 07 - Non-Hazardous - Bulky waste</t>
  </si>
  <si>
    <t xml:space="preserve">    20 03 99 - Non-Hazardous - Municipal wastes not otherwise specified</t>
  </si>
  <si>
    <t>Entity Name</t>
  </si>
  <si>
    <t>Entity Identifier</t>
  </si>
  <si>
    <t>Entity Identifier Scheme</t>
  </si>
  <si>
    <t>Report currency</t>
  </si>
  <si>
    <t>template_label_entity_identifier_document_information</t>
  </si>
  <si>
    <t>template_label_entity_identifier_scheme_document_information</t>
  </si>
  <si>
    <t>template_label_report_currency_document_information</t>
  </si>
  <si>
    <t>template_label_entity_name_document_information</t>
  </si>
  <si>
    <t>Decimal separator</t>
  </si>
  <si>
    <t>template_label_decimal_separator_document_information</t>
  </si>
  <si>
    <t>Report period</t>
  </si>
  <si>
    <t>template_label_report_period_document_information</t>
  </si>
  <si>
    <t>Report generated</t>
  </si>
  <si>
    <t>template_label_report_generated</t>
  </si>
  <si>
    <t>All disclosures are related to the reporting period above unless specified otherwise.</t>
  </si>
  <si>
    <t>template_label_disclosures_related_to_reporting_period</t>
  </si>
  <si>
    <t>template_label_table_of_contents</t>
  </si>
  <si>
    <t>Reporting period:</t>
  </si>
  <si>
    <t>template_label_reporting_period</t>
  </si>
  <si>
    <t>This report contains {{ ns.fact_count }} XBRL facts ({{ facts | count }} unique facts).</t>
  </si>
  <si>
    <t>template_label_XBRL_facts_in_report</t>
  </si>
  <si>
    <t>OK</t>
  </si>
  <si>
    <t>template_label_ok</t>
  </si>
  <si>
    <t>template_label_solid_warning</t>
  </si>
  <si>
    <t>template_label_gaseous_warning</t>
  </si>
  <si>
    <t>template_label_liquid_warning</t>
  </si>
  <si>
    <t>Translation (according to the language selected in the first sheet)</t>
  </si>
  <si>
    <t>5-6</t>
  </si>
  <si>
    <t>7-8</t>
  </si>
  <si>
    <t>9-12</t>
  </si>
  <si>
    <t xml:space="preserve"> 9-12</t>
  </si>
  <si>
    <t>14-16</t>
  </si>
  <si>
    <t>18-25</t>
  </si>
  <si>
    <t>26-45</t>
  </si>
  <si>
    <t>152-158</t>
  </si>
  <si>
    <t>150-151</t>
  </si>
  <si>
    <t>160-163</t>
  </si>
  <si>
    <t>46-69</t>
  </si>
  <si>
    <t>70-73</t>
  </si>
  <si>
    <t>74-76</t>
  </si>
  <si>
    <t>77-90</t>
  </si>
  <si>
    <t>95-107</t>
  </si>
  <si>
    <t>108-109</t>
  </si>
  <si>
    <t>164-166</t>
  </si>
  <si>
    <t>110-117</t>
  </si>
  <si>
    <t>119-126</t>
  </si>
  <si>
    <t>127-128</t>
  </si>
  <si>
    <t>129-136</t>
  </si>
  <si>
    <t>137-140</t>
  </si>
  <si>
    <t>167-169</t>
  </si>
  <si>
    <t>170-172</t>
  </si>
  <si>
    <t>141-144</t>
  </si>
  <si>
    <t>177(a)</t>
  </si>
  <si>
    <t>175-176</t>
  </si>
  <si>
    <t>177(b)</t>
  </si>
  <si>
    <t>177(c)</t>
  </si>
  <si>
    <t>177(d)</t>
  </si>
  <si>
    <t>178-180</t>
  </si>
  <si>
    <t>Size of balance sheet (total assets) in</t>
  </si>
  <si>
    <t>template_label_identifier_warning</t>
  </si>
  <si>
    <t>template_label_date_warning</t>
  </si>
  <si>
    <t>template_label_additional_rows_warning</t>
  </si>
  <si>
    <t>template_label_other_warning</t>
  </si>
  <si>
    <t>template_label_NACE_warning</t>
  </si>
  <si>
    <t>template_label_geolocalisation_warning</t>
  </si>
  <si>
    <t>template_label_energy_consumption_warning</t>
  </si>
  <si>
    <t>template_label_scope_3_categories_warning</t>
  </si>
  <si>
    <t>template_label_site_ID_value_inconsistency_warning</t>
  </si>
  <si>
    <t>template_label_type_of_waste_warning</t>
  </si>
  <si>
    <t>template_label_number_of_employees_warning</t>
  </si>
  <si>
    <t>template_label_health_and_safety_formula_warning</t>
  </si>
  <si>
    <t>Does the undertaking operate in more than one country?</t>
  </si>
  <si>
    <t>template_label_undertaking_operating_in_more_than_one_country</t>
  </si>
  <si>
    <t>https://xbrl.efrag.org/taxonomy/vsme/2025-07-30/vsme-all.xsd</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</si>
  <si>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</si>
  <si>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English - Official</t>
  </si>
  <si>
    <t>English - Official [en]</t>
  </si>
  <si>
    <t>do</t>
  </si>
  <si>
    <t>· diskriminacija</t>
  </si>
  <si>
    <t>Od</t>
  </si>
  <si>
    <t>Rok</t>
  </si>
  <si>
    <t>Adres</t>
  </si>
  <si>
    <t>Energia [MWh] = Massa [t] * [MWh/t]</t>
  </si>
  <si>
    <t>De</t>
  </si>
  <si>
    <t>a</t>
  </si>
  <si>
    <t>Nome</t>
  </si>
  <si>
    <t>INCOMPLETO</t>
  </si>
  <si>
    <t>COMPLETO</t>
  </si>
  <si>
    <t>Identificador de entidad</t>
  </si>
  <si>
    <t>Separador decimal</t>
  </si>
  <si>
    <t>Informe generado</t>
  </si>
  <si>
    <t>Versión:</t>
  </si>
  <si>
    <t>Fecha de publicación:</t>
  </si>
  <si>
    <t>Índice de color de fondo de celda:</t>
  </si>
  <si>
    <t>Módulo básico</t>
  </si>
  <si>
    <t>Módulo completo</t>
  </si>
  <si>
    <t>Indica que la entrada de datos es correcta y que la empresa puede proceder a la siguiente divulgación.</t>
  </si>
  <si>
    <t>No se puede introducir ningún valor en la celda.</t>
  </si>
  <si>
    <t>Información general</t>
  </si>
  <si>
    <t>Prácticas, políticas e iniciativas futuras para la transición hacia una economía más sostenible</t>
  </si>
  <si>
    <t>Consumo total de energía (en MWh)</t>
  </si>
  <si>
    <t>Desglose del consumo de energía (en MWh)</t>
  </si>
  <si>
    <t>Biodiversidad - Uso de la tierra</t>
  </si>
  <si>
    <t>Extracción de agua</t>
  </si>
  <si>
    <t>Consumo de agua</t>
  </si>
  <si>
    <t>Descripción de los principios de la economía circular</t>
  </si>
  <si>
    <t>Residuos generados</t>
  </si>
  <si>
    <t>Tipo de contrato</t>
  </si>
  <si>
    <t>Género</t>
  </si>
  <si>
    <t>País de empleo</t>
  </si>
  <si>
    <t>Tasa de rotación</t>
  </si>
  <si>
    <t>· C4 - Riesgos climáticos</t>
  </si>
  <si>
    <t>Exclusión de los índices de referencia de la UE</t>
  </si>
  <si>
    <t>Divulgaciones adicionales</t>
  </si>
  <si>
    <t>[Si procede, vinculado con B2]</t>
  </si>
  <si>
    <t>Nombre de la entidad informante</t>
  </si>
  <si>
    <t>Año de inicio</t>
  </si>
  <si>
    <t>Mes de inicio</t>
  </si>
  <si>
    <t>Día de inicio</t>
  </si>
  <si>
    <t>Año de finalización</t>
  </si>
  <si>
    <t>Mes de finalización</t>
  </si>
  <si>
    <t>Enlace al informe anterior que contiene divulgaciones que permanecen sin cambios</t>
  </si>
  <si>
    <t>Base para la presentación de informes (base consolidada o individual)</t>
  </si>
  <si>
    <t>Especificación de la forma jurídica de otra empresa</t>
  </si>
  <si>
    <t>Volumen de negocios en</t>
  </si>
  <si>
    <t>B1 - Lista de filiales</t>
  </si>
  <si>
    <t>Nombre</t>
  </si>
  <si>
    <t>¿Ha obtenido la empresa alguna certificación o etiqueta relacionada con la sostenibilidad?</t>
  </si>
  <si>
    <t>Dirección</t>
  </si>
  <si>
    <t>Código postal</t>
  </si>
  <si>
    <t>Ciudad</t>
  </si>
  <si>
    <t>País</t>
  </si>
  <si>
    <t>Coordenadas GPS (geolocalización)</t>
  </si>
  <si>
    <t>B2 – Prácticas, políticas e iniciativas futuras para la transición hacia una economía más sostenible</t>
  </si>
  <si>
    <t>Cambio climático</t>
  </si>
  <si>
    <t>Contaminación</t>
  </si>
  <si>
    <t>Economía circular</t>
  </si>
  <si>
    <t>Comunidades afectadas</t>
  </si>
  <si>
    <t>Consumidores y usuarios finales</t>
  </si>
  <si>
    <t>Conducta empresarial</t>
  </si>
  <si>
    <t>B2 - Información específica de la cooperativa</t>
  </si>
  <si>
    <t>B3 - Desglose del consumo de energía (en MWh)</t>
  </si>
  <si>
    <t>¿Ha obtenido la empresa la información necesaria para proporcionar un desglose del consumo de energía?</t>
  </si>
  <si>
    <t>Renovable</t>
  </si>
  <si>
    <t>No renovable</t>
  </si>
  <si>
    <t>Total renovable y no renovable</t>
  </si>
  <si>
    <t>Año objetivo</t>
  </si>
  <si>
    <t>Año (fecha)</t>
  </si>
  <si>
    <t>Emisiones brutas de GEI de alcance 2 basadas en la ubicación</t>
  </si>
  <si>
    <t>1. Bienes y servicios adquiridos</t>
  </si>
  <si>
    <t>2. Bienes de capital</t>
  </si>
  <si>
    <t>4. Transporte y distribución aguas arriba</t>
  </si>
  <si>
    <t>5. Residuos generados en las operaciones</t>
  </si>
  <si>
    <t>6. Viajes de negocios</t>
  </si>
  <si>
    <t>9. Transporte y distribución aguas abajo</t>
  </si>
  <si>
    <t>10. Procesamiento de productos vendidos</t>
  </si>
  <si>
    <t>12. Tratamiento al final de la vida útil de los productos vendidos</t>
  </si>
  <si>
    <t>13. Activos arrendados aguas abajo</t>
  </si>
  <si>
    <t>14. Franquicias</t>
  </si>
  <si>
    <t>15. Inversiones</t>
  </si>
  <si>
    <t>¿La empresa opera en sectores de alto impacto?</t>
  </si>
  <si>
    <t>Año</t>
  </si>
  <si>
    <t>Mes</t>
  </si>
  <si>
    <t>Día</t>
  </si>
  <si>
    <t>ID de fila</t>
  </si>
  <si>
    <t>Contaminante</t>
  </si>
  <si>
    <t>Área</t>
  </si>
  <si>
    <t>Uso total de la tierra</t>
  </si>
  <si>
    <t>Unidad de medida</t>
  </si>
  <si>
    <t>Residuos desviados para reciclar o reutilizar</t>
  </si>
  <si>
    <t>Cantidad total de residuos generados</t>
  </si>
  <si>
    <t>Total de residuos generados (masa)</t>
  </si>
  <si>
    <t>metros cúbicos (m³)</t>
  </si>
  <si>
    <t>Nombre del material clave</t>
  </si>
  <si>
    <t>kilogramos (kg)</t>
  </si>
  <si>
    <t>C4 – Riesgos climáticos</t>
  </si>
  <si>
    <t>Horizontes temporales de los peligros relacionados con el clima y los eventos de transición identificados</t>
  </si>
  <si>
    <t>Contrato indefinido</t>
  </si>
  <si>
    <t>Contrato temporal</t>
  </si>
  <si>
    <t>Masculino</t>
  </si>
  <si>
    <t>Otro</t>
  </si>
  <si>
    <t>¿Opera la empresa en más de un país?</t>
  </si>
  <si>
    <t>Total de trabajadores temporales proporcionados por empresas dedicadas principalmente a actividades de empleo</t>
  </si>
  <si>
    <t>· trabajo infantil</t>
  </si>
  <si>
    <t>· trabajo forzoso</t>
  </si>
  <si>
    <t>· discriminación</t>
  </si>
  <si>
    <t>· prevención de accidentes</t>
  </si>
  <si>
    <t>¿La empresa obtiene ingresos de una de las actividades enumeradas a continuación?</t>
  </si>
  <si>
    <t>Importe monetario en</t>
  </si>
  <si>
    <t>Ingresos derivados del carbón</t>
  </si>
  <si>
    <t>Ingresos derivados del petróleo</t>
  </si>
  <si>
    <t>Ingresos derivados de la producción de productos químicos</t>
  </si>
  <si>
    <t>C8 – Exclusión de los índices de referencia de la UE</t>
  </si>
  <si>
    <t>Ninguna de las anteriores</t>
  </si>
  <si>
    <t>Ratio de diversidad de género en el órgano de gobierno</t>
  </si>
  <si>
    <t>CONVERTIDOR DE COMBUSTIBLE</t>
  </si>
  <si>
    <t>Tipo de combustible</t>
  </si>
  <si>
    <t>Estado renovable típico</t>
  </si>
  <si>
    <t>Energía calculada en MWh</t>
  </si>
  <si>
    <t>Notas adicionales:</t>
  </si>
  <si>
    <t>Consumo de energía por hora en MWh para combustibles líquidos:</t>
  </si>
  <si>
    <t>Masa [t] = Volumen [L] * Densidad [t/L]</t>
  </si>
  <si>
    <t>Energía [MWh] = Masa [t] * [MWh/t]</t>
  </si>
  <si>
    <t>Consumo de energía por hora en MWh para combustibles gaseosos:</t>
  </si>
  <si>
    <t>CONVERTIDOR DE UNIDADES DE MEDIDA</t>
  </si>
  <si>
    <t>Unidad de medida del convertidor NCV</t>
  </si>
  <si>
    <t>A continuación se especifican todas las conversiones de unidades de medida de cada tabla.</t>
  </si>
  <si>
    <t>INCONSISTENCIA DE VALOR</t>
  </si>
  <si>
    <t>z</t>
  </si>
  <si>
    <t>kilogramy (kg)</t>
  </si>
  <si>
    <t>Período do relatório</t>
  </si>
  <si>
    <t>Índice</t>
  </si>
  <si>
    <t>Período de reporte:</t>
  </si>
  <si>
    <t>Versão:</t>
  </si>
  <si>
    <t>Princípios Gerais</t>
  </si>
  <si>
    <t>Validação OK</t>
  </si>
  <si>
    <t>Nenhum valor pode ser inserido na célula.</t>
  </si>
  <si>
    <t>Práticas, políticas e iniciativas futuras para a transição para uma economia mais sustentável</t>
  </si>
  <si>
    <t>Divulgações Ambientais</t>
  </si>
  <si>
    <t>Intensidade das emissões de gases com efeito de estufa por volume de negócios</t>
  </si>
  <si>
    <t>Biodiversidade - Uso do solo</t>
  </si>
  <si>
    <t>Descrição dos princípios da economia circular</t>
  </si>
  <si>
    <t>País de emprego</t>
  </si>
  <si>
    <t>Taxa de rotatividade</t>
  </si>
  <si>
    <t>· C2 - Descrição das práticas, políticas e iniciativas futuras para a transição para uma economia mais sustentável</t>
  </si>
  <si>
    <t>Plano de transição para empresas que operam em setores de elevado impacto climático</t>
  </si>
  <si>
    <t>Exclusão dos índices de referência da UE</t>
  </si>
  <si>
    <t>· C9 - Rácio de diversidade de género no órgão de governação</t>
  </si>
  <si>
    <t>em</t>
  </si>
  <si>
    <t>[Se aplicável]</t>
  </si>
  <si>
    <t>Dia de início</t>
  </si>
  <si>
    <t>Data de início do período de reporte (aaaa-mm-dd)</t>
  </si>
  <si>
    <t>Mês final</t>
  </si>
  <si>
    <t>Dia final</t>
  </si>
  <si>
    <t>Volume de negócios em</t>
  </si>
  <si>
    <t>B1 - Lista de subsidiárias</t>
  </si>
  <si>
    <t>Cidade</t>
  </si>
  <si>
    <t>Coordenadas GPS (geolocalização)</t>
  </si>
  <si>
    <t>Poluição</t>
  </si>
  <si>
    <t>Biodiversidade e ecossistemas</t>
  </si>
  <si>
    <t>Economia circular</t>
  </si>
  <si>
    <t>Comunidades afetadas</t>
  </si>
  <si>
    <t>Consumidores e utilizadores finais</t>
  </si>
  <si>
    <t>B2 - Divulgações específicas da cooperativa</t>
  </si>
  <si>
    <t>Renovável</t>
  </si>
  <si>
    <t>Não renovável</t>
  </si>
  <si>
    <t>Total renovável e não renovável</t>
  </si>
  <si>
    <t>Ano (data)</t>
  </si>
  <si>
    <t>4. Transporte e Distribuição a Montante</t>
  </si>
  <si>
    <t>11. Uso de Produtos Vendidos</t>
  </si>
  <si>
    <t>15. Investimentos</t>
  </si>
  <si>
    <t>Ano</t>
  </si>
  <si>
    <t>Dia</t>
  </si>
  <si>
    <t>Esta divulgação já está disponível publicamente?</t>
  </si>
  <si>
    <t>ID da linha</t>
  </si>
  <si>
    <t>Poluente</t>
  </si>
  <si>
    <t>Emissão para a água</t>
  </si>
  <si>
    <t>Emissão para o solo</t>
  </si>
  <si>
    <t>Área (hectares ou m² com base na seleção acima)</t>
  </si>
  <si>
    <t>Sítio localizado numa zona sensível à biodiversidade</t>
  </si>
  <si>
    <t>Tipo de uso do solo</t>
  </si>
  <si>
    <t>Consumo total de água (m³)</t>
  </si>
  <si>
    <t>B7 - Descrição dos princípios da economia circular</t>
  </si>
  <si>
    <t>B7 - Resíduos gerados</t>
  </si>
  <si>
    <t>Unidade de medida</t>
  </si>
  <si>
    <t>Quantidade total de resíduos gerados</t>
  </si>
  <si>
    <t>quilogramas (kg)</t>
  </si>
  <si>
    <t>Outro</t>
  </si>
  <si>
    <t>País do contrato de trabalho</t>
  </si>
  <si>
    <t>A empresa opera em mais de um país?</t>
  </si>
  <si>
    <t>B10 – Mão-de-obra – Remuneração, negociação coletiva e formação</t>
  </si>
  <si>
    <t>Total de trabalhadores independentes sem pessoal que trabalham exclusivamente para a empresa</t>
  </si>
  <si>
    <t>· trabalho forçado</t>
  </si>
  <si>
    <t>· discriminação</t>
  </si>
  <si>
    <t>B11 – Condenações e multas por corrupção e suborno</t>
  </si>
  <si>
    <t>Montante monetário em</t>
  </si>
  <si>
    <t>Rácio de diversidade de género no órgão de governação</t>
  </si>
  <si>
    <t>CONVERSOR DE COMBUSTÍVEL</t>
  </si>
  <si>
    <t>Quantidade</t>
  </si>
  <si>
    <t>Estado da matéria</t>
  </si>
  <si>
    <t>Estado renovável típico</t>
  </si>
  <si>
    <t>Energia Total [MWh]</t>
  </si>
  <si>
    <t>Massa [t] = Volume [L] * Densidade [t/L]</t>
  </si>
  <si>
    <t>Unidade de medida do conversor NCV</t>
  </si>
  <si>
    <t>4. O resultado da conversão será exibido na célula D6.</t>
  </si>
  <si>
    <t>▪ Unidade de medida do conversor de massa:</t>
  </si>
  <si>
    <t>ERRO</t>
  </si>
  <si>
    <t>ERRO + INCONSISTÊNCIA DE VALOR</t>
  </si>
  <si>
    <t>URL INVÁLIDO</t>
  </si>
  <si>
    <t>Nazwa jednostki</t>
  </si>
  <si>
    <t>Identyfikator jednostki</t>
  </si>
  <si>
    <t>Okres sprawozdawczy</t>
  </si>
  <si>
    <t>Spis treści</t>
  </si>
  <si>
    <t>Data publikacji:</t>
  </si>
  <si>
    <t>Wybierz język wyświetlania szablonu:</t>
  </si>
  <si>
    <t>Zasady ogólne</t>
  </si>
  <si>
    <t>Moduł podstawowy</t>
  </si>
  <si>
    <t>Wskazuje, że ujawnienie pochodzi z modułu podstawowego VSME.</t>
  </si>
  <si>
    <t>Walidacja OK</t>
  </si>
  <si>
    <t>W komórce nie można wprowadzić żadnej wartości.</t>
  </si>
  <si>
    <t>Informacje ogólne</t>
  </si>
  <si>
    <t>Całkowite zużycie energii (w MWh)</t>
  </si>
  <si>
    <t>Podział zużycia energii (w MWh)</t>
  </si>
  <si>
    <t>Pobór wody</t>
  </si>
  <si>
    <t>Zużycie wody</t>
  </si>
  <si>
    <t>Rodzaj umowy</t>
  </si>
  <si>
    <t>Płeć</t>
  </si>
  <si>
    <t>Kraj zatrudnienia</t>
  </si>
  <si>
    <t>Wskaźnik rotacji</t>
  </si>
  <si>
    <t>Wykluczenie z unijnych wskaźników referencyjnych</t>
  </si>
  <si>
    <t>[Zawsze do zgłoszenia]</t>
  </si>
  <si>
    <t>[Może (opcjonalnie)]</t>
  </si>
  <si>
    <t>Może (opcjonalnie)</t>
  </si>
  <si>
    <t>kwota w</t>
  </si>
  <si>
    <t>Rok rozpoczęcia</t>
  </si>
  <si>
    <t>Data rozpoczęcia okresu sprawozdawczego (rrrr-mm-dd)</t>
  </si>
  <si>
    <t>Data zakończenia okresu sprawozdawczego (rrrr-mm-dd)</t>
  </si>
  <si>
    <t>Kod pocztowy</t>
  </si>
  <si>
    <t>Miasto</t>
  </si>
  <si>
    <t>Kraj</t>
  </si>
  <si>
    <t>B2 – Praktyki, polityki i przyszłe inicjatywy na rzecz przejścia na bardziej zrównoważoną gospodarkę</t>
  </si>
  <si>
    <t>Zanieczyszczenie</t>
  </si>
  <si>
    <t>Gospodarka o obiegu zamkniętym</t>
  </si>
  <si>
    <t>Konsumenci i użytkownicy końcowi</t>
  </si>
  <si>
    <t>B2 - Ujawnianie informacji na temat współpracy</t>
  </si>
  <si>
    <t>C2 – Opis praktyk, polityk i przyszłych inicjatyw na rzecz przejścia na bardziej zrównoważoną gospodarkę</t>
  </si>
  <si>
    <t>B3 - Całkowite zużycie energii (w MWh)</t>
  </si>
  <si>
    <t>Całkowite zużycie energii</t>
  </si>
  <si>
    <t>B3 - Podział zużycia energii (w MWh)</t>
  </si>
  <si>
    <t>Odnawialny</t>
  </si>
  <si>
    <t>Bieżący okres sprawozdawczy</t>
  </si>
  <si>
    <t>Rok bazowy</t>
  </si>
  <si>
    <t>Rok docelowy</t>
  </si>
  <si>
    <t>Rok (data)</t>
  </si>
  <si>
    <t>1. Zakupione towary i usługi</t>
  </si>
  <si>
    <t>2. Dobra inwestycyjne</t>
  </si>
  <si>
    <t>6. Podróże służbowe</t>
  </si>
  <si>
    <t>7. Dojazdy pracowników</t>
  </si>
  <si>
    <t>10. Przetwarzanie sprzedanych produktów</t>
  </si>
  <si>
    <t>Miesiąc</t>
  </si>
  <si>
    <t>Dzień</t>
  </si>
  <si>
    <t>B4 – Zanieczyszczenie powietrza, wody i gleby</t>
  </si>
  <si>
    <t>Identyfikator wiersza</t>
  </si>
  <si>
    <t>Emisja do wody</t>
  </si>
  <si>
    <t>Emisja do gleby</t>
  </si>
  <si>
    <t>Opis sposobu stosowania tych zasad</t>
  </si>
  <si>
    <t>B7 - Wytworzone odpady</t>
  </si>
  <si>
    <t>Jednostka miary</t>
  </si>
  <si>
    <t>Odpady kierowane do recyklingu lub ponownego użycia</t>
  </si>
  <si>
    <t>Nazwa kluczowego materiału</t>
  </si>
  <si>
    <t>Umowa na czas nieokreślony</t>
  </si>
  <si>
    <t>Mężczyzna</t>
  </si>
  <si>
    <t>Kobieta</t>
  </si>
  <si>
    <t>Nie zgłoszono</t>
  </si>
  <si>
    <t>Liczba pracowników objętych układami zbiorowymi pracy</t>
  </si>
  <si>
    <t>Odsetek pracowników objętych układami zbiorowymi pracy [%]</t>
  </si>
  <si>
    <t>C8 – Przychody z niektórych rodzajów działalności</t>
  </si>
  <si>
    <t>Kwota pieniężna w</t>
  </si>
  <si>
    <t>KONWERTER PALIWA</t>
  </si>
  <si>
    <t>Rodzaj paliwa</t>
  </si>
  <si>
    <t>Stan skupienia</t>
  </si>
  <si>
    <t>Typowy stan odnawialny</t>
  </si>
  <si>
    <t>3. W komórce C9 wybierz Ilość zużytego paliwa</t>
  </si>
  <si>
    <t>4. W komórce D9 wyświetlany jest stan skupienia dla wybranego paliwa</t>
  </si>
  <si>
    <t>9. W komórce B31 wyświetlana jest całkowita energia nieodnawialna w megawatogodzinach</t>
  </si>
  <si>
    <t>10. Dalsze uwagi można znaleźć poniżej</t>
  </si>
  <si>
    <t>Dalsze uwagi:</t>
  </si>
  <si>
    <t>Masa [t] = Objętość [L] * Gęstość [t/L]</t>
  </si>
  <si>
    <t>Energia [MWh] = Masa [t] * [MWh/t]</t>
  </si>
  <si>
    <t>Zużycie energii na godzinę w MWh dla paliw gazowych:</t>
  </si>
  <si>
    <t>Jednostka miary zużycia energii na godzinę</t>
  </si>
  <si>
    <t>2. Następnie w komórce B6 można wprowadzić ilość masy.</t>
  </si>
  <si>
    <t>4. Wynik konwersji zostanie wyświetlony w komórce D6.</t>
  </si>
  <si>
    <t>BŁĄD</t>
  </si>
  <si>
    <t>NIESPÓJNOŚĆ WARTOŚCI</t>
  </si>
  <si>
    <t>BŁĄD + NIESPÓJNOŚĆ WARTOŚCI</t>
  </si>
  <si>
    <t>Ataskaitos valiuta</t>
  </si>
  <si>
    <t>Turinys</t>
  </si>
  <si>
    <t>Tvarumo ataskaita</t>
  </si>
  <si>
    <t>Langelio fono spalvos indeksas:</t>
  </si>
  <si>
    <t>Bendrieji principai</t>
  </si>
  <si>
    <t>Specifinė turinio tikrinimo būsena</t>
  </si>
  <si>
    <t>· Informacija apie ankstesnį ataskaitinį laikotarpį</t>
  </si>
  <si>
    <t>Vandens suvartojimas</t>
  </si>
  <si>
    <t>Žiedinės ekonomikos principų aprašymas</t>
  </si>
  <si>
    <t>Susidariusios atliekos</t>
  </si>
  <si>
    <t>Lytis</t>
  </si>
  <si>
    <t>Apyvartos rodiklis</t>
  </si>
  <si>
    <t>Pastraipos nuoroda</t>
  </si>
  <si>
    <t>į</t>
  </si>
  <si>
    <t>Kitos įmonės teisinės formos specifikacija</t>
  </si>
  <si>
    <t>Registruotas adresas</t>
  </si>
  <si>
    <t>Adresas</t>
  </si>
  <si>
    <t>Pašto kodas</t>
  </si>
  <si>
    <t>Klimato kaita</t>
  </si>
  <si>
    <t>Tarša</t>
  </si>
  <si>
    <t>Vandens ir jūrų ištekliai</t>
  </si>
  <si>
    <t>Biologinė įvairovė ir ekosistemos</t>
  </si>
  <si>
    <t>B2. Konkrečios kooperatyvų informacijos atskleidimas</t>
  </si>
  <si>
    <t>Su politika susijusio tikslo aprašymas</t>
  </si>
  <si>
    <t>Bendras energijos suvartojimas</t>
  </si>
  <si>
    <t>Tiksliniai metai</t>
  </si>
  <si>
    <t>Metai (data)</t>
  </si>
  <si>
    <t>6. Verslo kelionės</t>
  </si>
  <si>
    <t>14. Franšizės</t>
  </si>
  <si>
    <t>Mėnuo</t>
  </si>
  <si>
    <t>B4 – Oro, vandens ir dirvožemio tarša</t>
  </si>
  <si>
    <t>Ar šis atskleidimas jau yra viešai prieinamas?</t>
  </si>
  <si>
    <t>Eilutės ID</t>
  </si>
  <si>
    <t>B5 - Biologinė įvairovė - Žemės naudojimas</t>
  </si>
  <si>
    <t>Bendras žemės naudojimas</t>
  </si>
  <si>
    <t>Bendras vandens suvartojimas (m³)</t>
  </si>
  <si>
    <t>B7 - Žiedinės ekonomikos principų aprašymas</t>
  </si>
  <si>
    <t>Įmonė taiko žiedinės ekonomikos principus</t>
  </si>
  <si>
    <t>Atliekų rūšis</t>
  </si>
  <si>
    <t>Matavimo vienetas</t>
  </si>
  <si>
    <t>Atliekos, nukreiptos perdirbti arba pakartotinai naudoti</t>
  </si>
  <si>
    <t>kubiniai metrai (m³)</t>
  </si>
  <si>
    <t>kilogramai (kg)</t>
  </si>
  <si>
    <t>Neterminuota sutartis</t>
  </si>
  <si>
    <t>Ar įmonė veikia daugiau nei vienoje šalyje?</t>
  </si>
  <si>
    <t>Darbuotojų skaičius ataskaitinio laikotarpio pradžioje</t>
  </si>
  <si>
    <t>Darbuotojų skaičius ataskaitinio laikotarpio pabaigoje</t>
  </si>
  <si>
    <t>Darbuotojų kaitos rodiklis [%] ataskaitiniu laikotarpiu</t>
  </si>
  <si>
    <t>Mirčių dėl su darbu susijusių sužalojimų ir su darbu susijusių sveikatos sutrikimų skaičius</t>
  </si>
  <si>
    <t>Darbuotojų, kuriems taikomos kolektyvinės sutartys, skaičius</t>
  </si>
  <si>
    <t>Darbuotojų, kuriems taikomos kolektyvinės sutartys, procentinė dalis [%]</t>
  </si>
  <si>
    <t>Pajamos iš anglių</t>
  </si>
  <si>
    <t>C9 – Lyčių įvairovės santykis valdymo organe</t>
  </si>
  <si>
    <t>Moterų valdybos narių skaičius ataskaitinio laikotarpio pabaigoje</t>
  </si>
  <si>
    <t>Vyrų valdybos narių skaičius ataskaitinio laikotarpio pabaigoje</t>
  </si>
  <si>
    <t>Lyčių įvairovės santykis valdymo organe</t>
  </si>
  <si>
    <t>2. Langelyje B9 pasirinkite naudojamą matavimo vienetą</t>
  </si>
  <si>
    <t>Masė [t] = Tūris [L] * Tankis [t/L]</t>
  </si>
  <si>
    <t>Energijos suvartojimo per valandą matavimo vienetas</t>
  </si>
  <si>
    <t>KLAIDA</t>
  </si>
  <si>
    <t>Versija:</t>
  </si>
  <si>
    <t>Diena</t>
  </si>
  <si>
    <t>Ataskaitinis laikotarpis</t>
  </si>
  <si>
    <t>Į langelį negalima įvesti jokios reikšmės.</t>
  </si>
  <si>
    <t>Bendras energijos suvartojimas (MWh)</t>
  </si>
  <si>
    <t>iš</t>
  </si>
  <si>
    <t>Informacija apie ankstesnį ataskaitinį laikotarpį</t>
  </si>
  <si>
    <t>Darbuotojų skaičius</t>
  </si>
  <si>
    <t>Žiedinė ekonomika</t>
  </si>
  <si>
    <t>Vertės grandinės darbuotojai</t>
  </si>
  <si>
    <t>Vartotojai ir galutiniai naudotojai</t>
  </si>
  <si>
    <t>Metai</t>
  </si>
  <si>
    <t>Teršalas</t>
  </si>
  <si>
    <t>Žemės naudojimo tipas</t>
  </si>
  <si>
    <t>Bendras susidariusių atliekų kiekis</t>
  </si>
  <si>
    <t>· priverstinis darbas</t>
  </si>
  <si>
    <t>Bendra energija [MWh]</t>
  </si>
  <si>
    <t>Masė [t] = Tūris [m³] * Tankis [t/m³]</t>
  </si>
  <si>
    <t>Bendras susidariusių atliekų kiekis (tūris)</t>
  </si>
  <si>
    <t>Separator dziesiętny</t>
  </si>
  <si>
    <t>Indeks koloru tła komórki:</t>
  </si>
  <si>
    <t>Praktyki, polityki i przyszłe inicjatywy na rzecz przejścia na bardziej zrównoważoną gospodarkę</t>
  </si>
  <si>
    <t>Nazwa</t>
  </si>
  <si>
    <t>Adres siedziby</t>
  </si>
  <si>
    <t>14. Franczyzy</t>
  </si>
  <si>
    <t>15. Inwestycje</t>
  </si>
  <si>
    <t>Emisja do powietrza</t>
  </si>
  <si>
    <t>B6 - Zużycie wody</t>
  </si>
  <si>
    <t>Całkowite zużycie wody (m³)</t>
  </si>
  <si>
    <t>Umowa na czas określony</t>
  </si>
  <si>
    <t>Średni poziom godzinowego wynagrodzenia brutto pracowników płci męskiej</t>
  </si>
  <si>
    <t>Obliczona energia w MWh</t>
  </si>
  <si>
    <t>7. W komórce A28 wyświetlana jest całkowita energia w megawatogodzinach</t>
  </si>
  <si>
    <t>8. W komórce A31 wyświetlana jest całkowita energia odnawialna w megawatogodzinach</t>
  </si>
  <si>
    <t>Zużycie energii na godzinę w MWh dla paliw stałych:</t>
  </si>
  <si>
    <t>Masa [t] = Objętość [m³] * Gęstość [t/m³]</t>
  </si>
  <si>
    <t>Relatório gerado</t>
  </si>
  <si>
    <t>Data de publicação:</t>
  </si>
  <si>
    <t>Relatório de Sustentabilidade</t>
  </si>
  <si>
    <t>Modelo Digital VSME</t>
  </si>
  <si>
    <t>· B10 - Mão-de-obra – Remuneração, negociação coletiva e formação</t>
  </si>
  <si>
    <t>Consumo total de energia</t>
  </si>
  <si>
    <t>Ano base</t>
  </si>
  <si>
    <t>1. Bens e Serviços Adquiridos</t>
  </si>
  <si>
    <t>14. Franquias</t>
  </si>
  <si>
    <t>Mês</t>
  </si>
  <si>
    <t>Resíduos desviados para reciclagem ou reutilização</t>
  </si>
  <si>
    <t>· trabalho infantil</t>
  </si>
  <si>
    <t>Número total de condenações por violação das leis anticorrupção e antissuborno</t>
  </si>
  <si>
    <t>Tipo de combustível</t>
  </si>
  <si>
    <t>Massa [t] = Volume [m³] * Densidade [t/m³]</t>
  </si>
  <si>
    <t>Biodiversidad y ecosistemas</t>
  </si>
  <si>
    <t>Consumo total de agua (m³)</t>
  </si>
  <si>
    <t>Ingresos derivados del gas</t>
  </si>
  <si>
    <t>Consumo de energía por hora en MWh para combustibles sólidos:</t>
  </si>
  <si>
    <t>Masa [t] = Volumen [m³] * Densidad [t/m³]</t>
  </si>
  <si>
    <t>template_label_main_title_of_report_text</t>
  </si>
  <si>
    <t>template_label_subtitle_of_report_text</t>
  </si>
  <si>
    <t>template_label_title_of_report</t>
  </si>
  <si>
    <t>Pagrindinis ataskaitos pavadinimas</t>
  </si>
  <si>
    <t>Título principal do relatório</t>
  </si>
  <si>
    <t>Título principal del informe</t>
  </si>
  <si>
    <t>template_label_subtitle_of_report</t>
  </si>
  <si>
    <t>Subtítulo do relatório</t>
  </si>
  <si>
    <t>ℹ️ Liquid fuel: please select one unit of measurement among m³ and L</t>
  </si>
  <si>
    <t>ℹ️ Solid fuel: please select one unit of measurement among Gg, t, Kg and g</t>
  </si>
  <si>
    <t>ℹ️ Gaseous fuel: please select one unit of measurement among m³ and L</t>
  </si>
  <si>
    <t xml:space="preserve">ℹ️  The entity identifier is a unique ID, that will enable identifying the company that has reported the information. The VSME Standard does not require any specific identifier. An entity identifier is required for the digital reporting. </t>
  </si>
  <si>
    <t>ℹ️ If VALUE INCONSISTENCY message appears on the right, please ensure that the reporting period end date is greater than the reporting period start date.</t>
  </si>
  <si>
    <t>ℹ️  Lists can be expanded using the little [+] button on the left.  If the number of rows is not sufficient, those can be added by right clicking the second row and selecting "Insert row".</t>
  </si>
  <si>
    <t>ℹ️ When "other" is chosen as undertaking legal form please fill the row below</t>
  </si>
  <si>
    <t>ℹ️  Please select a NACE code rather than a category else an ERROR message will appear.</t>
  </si>
  <si>
    <t>ℹ️  Please be careful to separate each street number and house number using the slash symbol "/" and not the comma ","</t>
  </si>
  <si>
    <t xml:space="preserve">ℹ️  Please note that the formula present in this cell may be overwritten in case the undertaking wants to directly provide the value. </t>
  </si>
  <si>
    <t>ℹ️  Scope 3 categories according to the GHG protocol might help to calculate the total Scope 3 GHG emissions. In case the undertaking wants to, it can directly provide the Total Scope 3 GHG emissions in the respective cell.</t>
  </si>
  <si>
    <t>ℹ️  If a validation related to value inconsistency is displayed, please select a site ID that is different from one of those previously selected.</t>
  </si>
  <si>
    <t>ℹ️  Please select a Type of waste (Hazardous or Non-Hazardous) rather than a category else an ERROR message will appear.</t>
  </si>
  <si>
    <t xml:space="preserve">ℹ️  Please make sure that the total number of employees is the same as the one provided in the "General Information" sheet cell E55
</t>
  </si>
  <si>
    <t>ℹ️  The undertaking can modify the value in this cell as 2,000 hours is based on the assumption that one full-time worker works 2,000 hours per year. This figure may vary by country or sector, depending on national rules or collective bargaining agreements.</t>
  </si>
  <si>
    <t>ℹ️ Paliwo stałe: proszę wybrać jedną jednostkę miary spośród Gg, t, Kg i g</t>
  </si>
  <si>
    <t>ℹ️ Paliwo gazowe: proszę wybrać jedną jednostkę miary spośród m³ i L</t>
  </si>
  <si>
    <t>ℹ️ Combustível líquido: selecione uma unidade de medida entre m³ e L</t>
  </si>
  <si>
    <t>ℹ️ Combustible sólido: seleccione una unidad de medida entre Gg, t, Kg y g</t>
  </si>
  <si>
    <t>ℹ️ Combustible gaseoso: seleccione una unidad de medida entre m³ y L</t>
  </si>
  <si>
    <t>Schemat identyfikatora jednostki</t>
  </si>
  <si>
    <t xml:space="preserve">Waluta sprawozdania </t>
  </si>
  <si>
    <t>Wygenerowane sprawozdanie</t>
  </si>
  <si>
    <t xml:space="preserve">Wszystkie ujawnienia dotyczą powyższego okresu sprawozdawczego, chyba że wskazano inaczej. </t>
  </si>
  <si>
    <t xml:space="preserve">Wersja: </t>
  </si>
  <si>
    <t>Punkt wejścia do taksonomii:</t>
  </si>
  <si>
    <t>Główny tytuł sprawozdania</t>
  </si>
  <si>
    <t>Sprawozdanie w zakresie zrównoważonego rozwoju</t>
  </si>
  <si>
    <t>Podtytuł sprawozdania</t>
  </si>
  <si>
    <t>Elektroniczny szablon VSME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</si>
  <si>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</si>
  <si>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Jak korzystać:</t>
  </si>
  <si>
    <t>0. Dostarcz informacje, które są obowiązkowe do wygenerowania sprawozdania VSME i XBRL.</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</si>
  <si>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</si>
  <si>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</si>
  <si>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</si>
  <si>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4. Zweryfikuj wprowadzone dane, sprawdzając status walidacji. Sprawozdanie jest uznawane za niekompletne lub błędne, jeśli walidacja nie powiedzie się, co może skutkować nieprawidłowym sprawozdaniem XBRL.</t>
  </si>
  <si>
    <t xml:space="preserve">6. Jednostka może również umieścić sprawozdanie w publicznych repozytoriach lub na stronie nternetowej. </t>
  </si>
  <si>
    <t>Wskazuje, że ujawnienie informacji pochodzi z ogólnych zasad VSME.</t>
  </si>
  <si>
    <t>Moduł kompleksowy</t>
  </si>
  <si>
    <t>Wskazuje, że ujawnienie pochodzi z modułu kompleksowego VSME.</t>
  </si>
  <si>
    <t>Wskazuje, że komórka jest obliczana automatycznie i nie jest wymagane ręczne wprowadzanie danych.</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</si>
  <si>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</si>
  <si>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Wskazuje, że nie jest wymagane wprowadzanie danych, chyba że w samym ujawnieniu wybrane zostaną określone formuły logiczne. Gdy jedna z tych formuł logicznych zostanie wybrana, to pole zmieni kolor na biały.</t>
  </si>
  <si>
    <t>Walidacja BRAK WARTOŚCI/ BŁĄD/ NIESPÓJNOŚĆ WARTOŚCI/ NIEPRAWIDŁOWY ADRES URL</t>
  </si>
  <si>
    <t>Wskazuje, że wpisane dane są niepoprawne pod względem formatu lub brakuje pewnych informacji, aby prawidłowo sporządzić sprawozdanie dotyczący ujawnienia.</t>
  </si>
  <si>
    <t>Wskazuje, że wprowadzenie danych jest poprawne, a jednostka może przejść do kolejnego ujawnienia.</t>
  </si>
  <si>
    <t>Listy można rozwijać, używając przycisku plus [+] po lewej stronie. Jeśli liczba wierszy jest niewystarczająca, można dodać dodatkowe wiersze, klikając prawym przyciskiem myszy drugi wiersz i wybierając "Wstaw wiersz".</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</si>
  <si>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</si>
  <si>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Prawa do powielania i wykorzystywania są ściśle ograniczone. W celu uzyskania dalszych informacji prosimy o kontakt pod adresem efragsecretariat@efrag.org.</t>
  </si>
  <si>
    <t>Ogólny status walidacji</t>
  </si>
  <si>
    <t>Grupowanie treści jest zgodne ze strukturą szablonu</t>
  </si>
  <si>
    <t>Status walidacji konkretnej treści</t>
  </si>
  <si>
    <t>Podstawa sporządzenia i inne ogólne informacje jednostce</t>
  </si>
  <si>
    <t>Lista jednostek zależnych</t>
  </si>
  <si>
    <t>Ujawnienie certyfikatów lub oznaczeń związanych ze zrównoważonym rozwojem</t>
  </si>
  <si>
    <t>Lista lokalizacji</t>
  </si>
  <si>
    <t>Ujawnienia specyficzne dla spółdzielni</t>
  </si>
  <si>
    <t>Ujawnienia środowiskowe</t>
  </si>
  <si>
    <t>Szacunkowa emisja gazów cieplarnianych z uwzględnieniem wymogów GHG Protocol Corporate Standard w wersji z 2004 r. (w tCO2e)</t>
  </si>
  <si>
    <t>Intensywność emisji gazów cieplarnianych na jednostkę obrotu</t>
  </si>
  <si>
    <t>Lokalizacje na obszarach wrażliwych pod względem bioróżnorodności</t>
  </si>
  <si>
    <t>Bioróżnorodność - użytkowanie gruntów</t>
  </si>
  <si>
    <t>B7 – Wykorzystanie zasobów, gospodarka o obiegu zamkniętym i gospodarowanie odpadami</t>
  </si>
  <si>
    <t>Odpady wytworzone</t>
  </si>
  <si>
    <t>Roczny przepływ masowy istotnych wykorzystywanych materiałów</t>
  </si>
  <si>
    <t>Ujawnienia społeczne</t>
  </si>
  <si>
    <t>B10 – Zasoby pracownicze – wynagrodzenie, rokowania zbiorowe i szkolenia</t>
  </si>
  <si>
    <t>Ujawnienia odnoszące się do ładu korporacyjnego</t>
  </si>
  <si>
    <t>B11 – Wyroki skazujące i grzywny za naruszenie przepisów antykorupcyjnych i przepisów w sprawie zwalczania przekupstwa</t>
  </si>
  <si>
    <t>Cele redukcji emisji gazów cieplarnianych (w tCO2e)</t>
  </si>
  <si>
    <t>Lista głównych działań, które jednostka zamierza wdrożyć, aby osiągnąć swoje cele</t>
  </si>
  <si>
    <t>Plan transformacji dla jednostek prowadzących działalność w sektorach o znacznym oddziaływaniu na klimat</t>
  </si>
  <si>
    <t>C5 – Dodatkowa (ogólna) charakterystyka pracowników</t>
  </si>
  <si>
    <t>C6 – Dodatkowe informacje dotyczące własnych zasobów pracowniczych – polityki i procesy dotyczące praw człowieka</t>
  </si>
  <si>
    <t>C7 – Poważne incydenty dotyczące praw człowieka</t>
  </si>
  <si>
    <t>Przychody z niektórych rodzajów działalności</t>
  </si>
  <si>
    <t>Dodatkowe ujawnienia</t>
  </si>
  <si>
    <t>Ujawnienie innych informacji ogólnych i/lub specyficznych dla jednostki dotyczących okresu sprawozdawczego</t>
  </si>
  <si>
    <t>Odniesienie do paragrafu</t>
  </si>
  <si>
    <t>Odniesienie do wytycznych w paragrafie</t>
  </si>
  <si>
    <t>w</t>
  </si>
  <si>
    <t>[Jeśli dotyczy]</t>
  </si>
  <si>
    <t>[Zawsze do zgłoszenia + Jeśli dotyczy]</t>
  </si>
  <si>
    <t>[Jeśli dotyczy, powiązane z B2]</t>
  </si>
  <si>
    <t>Informacje dotyczące sprawozdania niezbędne dla XBRL</t>
  </si>
  <si>
    <t>Nazwa jednostki sporządzającej sprawozdanie</t>
  </si>
  <si>
    <t>Identyfikator jednostki sporządzającej sprawozdanie (wybierz i określ po prawej)</t>
  </si>
  <si>
    <t>Waluta wartości pieniężnych w sprawozdaniu</t>
  </si>
  <si>
    <t>Miesiąc rozpoczęcia</t>
  </si>
  <si>
    <t>Dzień rozpoczęcia</t>
  </si>
  <si>
    <t>Rok zakończenia</t>
  </si>
  <si>
    <t>Miesiąc zakończenia</t>
  </si>
  <si>
    <t>Dzień zakończenia</t>
  </si>
  <si>
    <t>Informacje dotyczące poprzedniego okresu sprawozdawczego</t>
  </si>
  <si>
    <t>Niniejsze sprawozdanie zawiera ujawnienia z poprzedniego okresu sprawozdawczego, które pozostają niezmienione</t>
  </si>
  <si>
    <t>Lista ujawnień, dla których nie zgłoszono zmian w porównaniu z poprzednim okresem sprawozdawczym</t>
  </si>
  <si>
    <t>Odnośnik do poprzedniego sprawozdania zawierającego ujawnienia, które pozostają niezmienione</t>
  </si>
  <si>
    <t>B1 – Podstawa sporządzenia i ogólne informacje o jednostce</t>
  </si>
  <si>
    <t>Podstawa sporządzenia (tylko moduł podstawowy lub moduł podstawowy i kompleksowy)</t>
  </si>
  <si>
    <t>Lista ujawnień pominiętych uznanych za informacje zastrzeżone lub wrażliwe</t>
  </si>
  <si>
    <t>Podstawa sprawozdawczości (w ujęciu skonsolidowanym lub jednostkowym)</t>
  </si>
  <si>
    <t>Forma prawna jednostki</t>
  </si>
  <si>
    <t>Inna specyfikacja formy prawnej jednostki</t>
  </si>
  <si>
    <t>Kod(y) klasyfikacji sektorowej NACE</t>
  </si>
  <si>
    <t>Wielkość bilansu (aktywa ogółem) w</t>
  </si>
  <si>
    <t xml:space="preserve">Obrót w </t>
  </si>
  <si>
    <t>Liczba pracowników</t>
  </si>
  <si>
    <t>Metodologia liczenia pracowników (na koniec okresu sprawozdawczego lub jako średnia w trakcie okresu sprawozdawczego)</t>
  </si>
  <si>
    <t>Metodologia liczenia pracowników (liczba zatrudnionych lubliczba ekwiwalentów pełnego czasu pracy)</t>
  </si>
  <si>
    <t>Kraj, w którym jednostka prowadzi główną działalność i w którym są zlokalizowane jej znaczące aktywa</t>
  </si>
  <si>
    <t>B1 – Lista jednostek zależnych</t>
  </si>
  <si>
    <t>B1 - Ujawnienie certyfikatów lub oznaczeń związanych ze zrównoważonym rozwojem</t>
  </si>
  <si>
    <t>Czy jednostka uzyskała jakikolwiek certyfikat lub oznaczenie związane ze zrównoważonym rozwojem?</t>
  </si>
  <si>
    <t>Opis certyfikatu lub oznaczenia związanego ze zrównoważonym rozwojem, w tym, w stosownych przypadkach, wystawców certyfikatu lub oznaczenia, datę i wynik oceny</t>
  </si>
  <si>
    <t>B1 - Lista lokalizacji</t>
  </si>
  <si>
    <t>Współrzędne GPS (położenie geograficzne)</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</si>
  <si>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</si>
  <si>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Czy jednostka wprowadziła konkretne praktyki, polityki i/lub przyszłe inicjatywy na rzecz przejścia na bardziej zrównoważoną gospodarkę?</t>
  </si>
  <si>
    <t>Kwestie zrównoważonego rozwoju uwzględnione w praktykach, politykach i/lub przyszłych inicjatywach wprowadzonych przez jednostkę</t>
  </si>
  <si>
    <t>Jednostka posiada praktykę, politykę i/lub przyszłą inicjatywę, która jest publicznie dostępna</t>
  </si>
  <si>
    <t>Jednostka wyznaczyła cel związany z polityką</t>
  </si>
  <si>
    <t>Zmiana klimatu</t>
  </si>
  <si>
    <t>Woda i zasoby morskie</t>
  </si>
  <si>
    <t>Bioróżnorodność i ekosystemy</t>
  </si>
  <si>
    <t>Własne zasoby pracownicze</t>
  </si>
  <si>
    <t>Osoby wykonujące pracę w łańcuchu wartości</t>
  </si>
  <si>
    <t>Dotknięte społeczności</t>
  </si>
  <si>
    <t>Postępowanie w biznesie</t>
  </si>
  <si>
    <t>Efektywny udział pracowników, użytkowników lub innych zainteresowanych stron lub społeczności w ładzie korporacyjnym</t>
  </si>
  <si>
    <t>Inwestycje finansowe w kapitał lub aktywa podmiotów gospodarki społecznej, o których mowa w zaleceniu Rady z dnia 29 września 2023 r. (z wyłączeniem darowizn i składek)</t>
  </si>
  <si>
    <t>Wszelkie ograniczenia w podziale zysków związane z wzajemnym charakterem lub specyfiką działalności polegającej na świadczeniu usług świadczonych w ogólnym interesie gospodarczym (UOIG).</t>
  </si>
  <si>
    <t>Opis polityki, praktyki i/lub przyszłej inicjatywy na rzecz bardziej zrównoważonej przyszłości (jeśli praktyka, polityka lub przyszła inicjatywa obejmuje dostawców lub klientów, należy to zaznaczyć)</t>
  </si>
  <si>
    <t>Opis celu związanego z polityką</t>
  </si>
  <si>
    <t>Najwyższy szczebel w jednostce, który jest odpowiedzialny za wdrożenie polityk, jeśli został określony przez jednostkę</t>
  </si>
  <si>
    <t>Strategia: model biznesowy i zrównoważony rozwój – powiązane inicjatywy</t>
  </si>
  <si>
    <t>Opis znaczących grup oferowanych produktów i/lub usług</t>
  </si>
  <si>
    <t>Opis istotnych rynków, na których jednostka prowadzi działalność (np. B2B, handel hurtowy, detaliczny, kraje)</t>
  </si>
  <si>
    <t>Opis głównych relacji biznesowych (np. kluczowi dostawcy, klienci, kanały dystrybucji)</t>
  </si>
  <si>
    <t>Czy strategia zawiera kluczowe elementy, które odnoszą się do kwestii związanych ze zrównoważonym rozwojem lub mają na nie wpływ?</t>
  </si>
  <si>
    <t>Opis kluczowych elementów, które odnoszą się do kwestii związanych ze zrównoważonym rozwojem lub mają na nie wpływ</t>
  </si>
  <si>
    <t>Czy jednostka uzyskała niezbędne informacje pozwalające na przedstawienie podziału zużycia energii?</t>
  </si>
  <si>
    <t>Nieodnawialny</t>
  </si>
  <si>
    <t>Całkowite odnawialne i nieodnawialne</t>
  </si>
  <si>
    <t>Energia elektryczna (według danych zawartych w rachunkach za media)</t>
  </si>
  <si>
    <t>Samodzielnie produkowana energia elektryczna</t>
  </si>
  <si>
    <t>Paliwa (zobacz Konwerter Paliw na arkuszu Paliwa)</t>
  </si>
  <si>
    <t>B3 – Szacunkowa emisja gazów cieplarnianych z uwzględnieniem wymogów GHG Protocol Corporate Standard w wersji z 2004 r. (w tCO2e)</t>
  </si>
  <si>
    <t>C3 – Cele redukcji emisji gazów cieplarnianych (w tCO2e)</t>
  </si>
  <si>
    <t>Czy jednostka ustanowiła cele redukcji emisji gazów cieplarnianych?</t>
  </si>
  <si>
    <t>Procentowa redukcja względem roku bazowego</t>
  </si>
  <si>
    <t>Emisje brutto gazów cieplarnianych zakresu 1 (GHG)</t>
  </si>
  <si>
    <t>Emisje brutto gazów cieplarnianych zakresu 2 według metody opartej na lokalizacji</t>
  </si>
  <si>
    <t>Emisje brutto gazów cieplarnianych zakresu 2 według metody opartej na rynku</t>
  </si>
  <si>
    <t>Całkowite emisje gazów cieplarnianych zakresu 1 i zakresu 2 (według metody opartej na lokalizacji)</t>
  </si>
  <si>
    <t>Całkowite emisje gazów cieplarnianych zakresu 1 i zakresu 2 (według metody opartej na rynku)</t>
  </si>
  <si>
    <t>Czy jednostka ujawnia informacje specyficzne dla jednostki na temat emisji z zakresie 3 (w tCO2e)?</t>
  </si>
  <si>
    <t>3. Działalność związana z paliwami i energią (niezawarta w zakresie 1 i zakresie 2)</t>
  </si>
  <si>
    <t>4. Transport i dystrybucja na wyższym szczeblu łańcucha dostaw</t>
  </si>
  <si>
    <t>5. Odpady powstałe w trakcie działalności operacyjnej</t>
  </si>
  <si>
    <t>8. Dzierżawione aktywa na wyższym szczeblu łańcucha wartości</t>
  </si>
  <si>
    <t>9. Transport i dystrybucja na niższym szczeblu łańcucha wartości</t>
  </si>
  <si>
    <t>11. Wykorzystanie sprzedanych produktów</t>
  </si>
  <si>
    <t>12. Wycofanie z eksploatacji sprzedanych produktów</t>
  </si>
  <si>
    <t>13. Aktywa dzierżawione na niższym szczeblu łańcucha wartości</t>
  </si>
  <si>
    <t>Całkowite emisje gazów cieplarnianych zakresu 3</t>
  </si>
  <si>
    <t>Całkowite emisje gazów cieplarnianych zakresu 1, zakresu 2 i zakresu 3 (według metody opartej na lokalizacji)</t>
  </si>
  <si>
    <t>Całkowite emisje gazów cieplarnianych zakresu 1, zakresu 2 i zakresu 3 (według metody opartej na rynku)</t>
  </si>
  <si>
    <t>C3 - wykaz głównych działań, które jednostka zamierza wdrożyć, aby osiągnąć swoje cele</t>
  </si>
  <si>
    <t>C3 – Plan transformacji dla jednostek prowadzących działalność w sektorach o znacznym oddziaływaniu na klimat</t>
  </si>
  <si>
    <t>Czy jednostka prowadzi działalność w sektorach o znacznym oddziaływaniu na klimat?</t>
  </si>
  <si>
    <t>Status wdrożenia planu transformacji w związku z łagodzeniem zmian klimatu</t>
  </si>
  <si>
    <t>Opis planu transformacji na rzecz łagodzenia zmian klimatu wraz z wyjaśnieniem, w jaki sposób przyczynia się on do redukcji emisji gazów cieplarnianych</t>
  </si>
  <si>
    <t>Data przewidywanego przyjęcia planu transformacji dla jednostki, która jeszcze nie przyjęła planu transformacji</t>
  </si>
  <si>
    <t>B3 - Intensywność emisji gazów cieplarnianych na jednostkę obrotu (w tCO2e)</t>
  </si>
  <si>
    <t>Intensywność emisji gazów cieplarnianych z zakresu 1 i zakresu 2 (według metody opartej na lokalizacji)</t>
  </si>
  <si>
    <t>Intensywność emisji gazów cieplarnianych z zakresu 1 i zakresu 2 (według metody opartej na rynku)</t>
  </si>
  <si>
    <t>Całkowita intensywność emisji gazów cieplarnianych z zakresu 1 i zakresu 2 (według metody opartej na lokalizacji)</t>
  </si>
  <si>
    <t>Całkowita intensywność emisji gazów cieplarnianych zakresu 1, zakresu 2 i zakresu 3 (według metody opartej na rynku)</t>
  </si>
  <si>
    <t>Czy jednostka jest już zobowiązana przepisami prawa lub innymi krajowymi regulacjami do zgłaszania właściwym organom emisji zanieczyszczeń lub czy zgłasza je dobrowolnie zgodnie z systemem zarządzania środowiskowego?</t>
  </si>
  <si>
    <t>Czy to ujawnienie jest już publicznie dostępne?</t>
  </si>
  <si>
    <t>Proszę podać odpowiedni odnośnik URL lub hiperłącze do miejsca, w którym informacje te są podane</t>
  </si>
  <si>
    <t>Proszę wybrać jednostkę używaną do sprawozdania ilości (tj. kg lub tona)</t>
  </si>
  <si>
    <t>Czynnik zanieczyszczający</t>
  </si>
  <si>
    <t>B5 – Lokalizacje położone na obszarach wrażliwych pod względem bioróżnorodności</t>
  </si>
  <si>
    <t>Czy jednostka posiada lokalizacje znajdujące się na obszarach wrażliwych pod względem bioróżnorodności lub w ich pobliżu?</t>
  </si>
  <si>
    <t>Proszę wybrać jednostkę używaną do sprawozdania powierzchni (tj. hektary lub m²):</t>
  </si>
  <si>
    <t>Identyfikator powiązanej lokalizacji (wybierz identyfikator z lokalizacji zgłoszonej w B1)</t>
  </si>
  <si>
    <t>Lokalizacja w pobliżu obszarów wrażliwych pod względem bioróżnorodności – automatycznie wypełniona z B1</t>
  </si>
  <si>
    <t>Obszar (w hektarach lub m² na podstawie powyższego wyboru)</t>
  </si>
  <si>
    <t>Lokalizacja znajdująca się na obszarach wrażliwych pod względem bioróżnorodności</t>
  </si>
  <si>
    <t>Lokalizacja znajdująca się w pobliżu obszarów wrażliwych pod względem bioróżnorodności</t>
  </si>
  <si>
    <t>B5 – Bioróżnorodność – Użytkowanie gruntów</t>
  </si>
  <si>
    <t xml:space="preserve"> </t>
  </si>
  <si>
    <t>Powierzchnia</t>
  </si>
  <si>
    <t>Całkowita powierzchnia nieprzepuszczalna</t>
  </si>
  <si>
    <t>Całkowity obszar ukierunkowany na naturę w danej lokalizacji</t>
  </si>
  <si>
    <t>Całkowity obszar ukierunkowany na naturę poza daną lokalizacją</t>
  </si>
  <si>
    <t>Całkowite użytkowanie gruntów</t>
  </si>
  <si>
    <t>B6 – Pobór wody</t>
  </si>
  <si>
    <t>Całkowita ilość pobranej wody ze wszystkich lokalizacji (m³)</t>
  </si>
  <si>
    <t>Ilość wody pobranej w lokalizacjach położonych na obszarach o wysokim deficycie wody (metry sześcienne m³)</t>
  </si>
  <si>
    <t>Czy jednostka prowadzi procesy produkcyjne, które wiążą się ze znacznym zużyciem wody (np. procesy wykorzystujące energię cieplną, takie jak suszenie lub produkcja energii elektrycznej, produkcja towarów, nawadnianie w rolnictwie itp.)?</t>
  </si>
  <si>
    <t>Zrzut wody z procesów produkcyjnych jednostki (m³)</t>
  </si>
  <si>
    <t>B7 – Opis zasad gospodarki o obiegu zamkniętym</t>
  </si>
  <si>
    <t>Jednostka stosuje zasady gospodarki o obiegu zamkniętym</t>
  </si>
  <si>
    <t>Typ odpadów</t>
  </si>
  <si>
    <t>Odpady kierowane do unieszkodliwiania</t>
  </si>
  <si>
    <t>Ilość odpadów kierowanych do recyklingu, ponownego użycia lub unieszkodliwienia</t>
  </si>
  <si>
    <t>Całkowita ilość wytworzonych odpadów niebezpiecznych (masa)</t>
  </si>
  <si>
    <t>Całkowita ilość wytwarzanych odpadów</t>
  </si>
  <si>
    <t>Całkowita ilość wytworzonych odpadów innych niż niebezpieczne (masa)</t>
  </si>
  <si>
    <t>Całkowita ilość wytwarzanych odpadów (masa)</t>
  </si>
  <si>
    <t>Całkowita ilość wytworzonych odpadów niebezpiecznych (objętość)</t>
  </si>
  <si>
    <t>metr sześcienny (m³)</t>
  </si>
  <si>
    <t>Całkowita ilość wytworzonych odpadów innych niż niebezpieczne (objętość)</t>
  </si>
  <si>
    <t>Całkowita ilość wytwarzanych odpadów (objętość)</t>
  </si>
  <si>
    <t>B7 – Roczny przepływ masowy używanych istotnych materiałów</t>
  </si>
  <si>
    <t>Czy jednostka prowadzi działalność w sektorze, w którym mają znaczenie znaczące przepływy materiałów (takim jak produkcja, budownictwo, branża opakowań lub inne)?</t>
  </si>
  <si>
    <t>Całkowity roczny przepływ masowy używanych istotnych materiałów (masa w kg)</t>
  </si>
  <si>
    <t>Całkowity roczny przepływ masowy używanych istotnych materiałów (objętość w m³)</t>
  </si>
  <si>
    <t>C4 – Ryzyko związane z klimatem</t>
  </si>
  <si>
    <t>Czy jednostka zidentyfikowała zagrożenia związane z klimatem i zdarzenia dotyczące przejścia związanego z klimatem, powodujące poważne ryzyka związane z klimatem dla jednostki?</t>
  </si>
  <si>
    <t>Opis zagrożeń związanych z klimatem oraz zdarzeń dotyczących przejścia związanego z klimatem</t>
  </si>
  <si>
    <t>Ujawnienie w jaki sposób zostało ocenione narażenie i wrażliwość jej aktywów, działań i łańcucha wartości na te zagrożenia i zdarzenia dotyczące przejścia</t>
  </si>
  <si>
    <t>Perspektywy czasowe wszelkich zagrożeń związanych z klimatem oraz zdarzeń dotyczących przejścia związanego z klimatem</t>
  </si>
  <si>
    <t>Ujawnienie czy podjęła działania mające na celu przystosowanie się do zmiany klimatu w odniesieniu do wszelkich zagrożeń związanych z klimatem i zdarzeń dotyczących przejścia związanego z klimatem</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</si>
  <si>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</si>
  <si>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Ujawnienie wszelkich innych informacji środowiskowych i/lub informacji środowiskowych specyficznych dla danej jednostki</t>
  </si>
  <si>
    <t>Metodologia liczenia pracowników dla poniższych ujawnień (liczba zatrudnionych lub ekwiwalent pełnego czasu pracy powiązany z B1)</t>
  </si>
  <si>
    <t>Metodologia liczenia pracowników dla poniższych ujawnień (na koniec okresu sprawozdawczego lub jako średnia w całym okresie sprawozdawczym powiązana z B1)</t>
  </si>
  <si>
    <t>B8 – Zasoby pracownicze – Ogólna charakterystyka - Rodzaj umowy</t>
  </si>
  <si>
    <t>Liczba pracowników ogółem (odniesienie do B1)</t>
  </si>
  <si>
    <t>B8 – Zasoby pracownicze – Ogólne charakterystyki - Płeć</t>
  </si>
  <si>
    <t>Inna</t>
  </si>
  <si>
    <t>B8 – Zasoby pracownicze – Ogólna charakterystyka - Kraj zatrudnienia</t>
  </si>
  <si>
    <t>Kraj umowy o pracę</t>
  </si>
  <si>
    <t>Czy jednostka prowadzi działalność w więcej niż jednym kraju?</t>
  </si>
  <si>
    <t>B8 – Zasoby pracownicze – Ogólna charakterystyka - Wskaźnik rotacji</t>
  </si>
  <si>
    <t>Liczba pracowników, którzy opuścili jednostkę w okresie sprawozdawczym</t>
  </si>
  <si>
    <t>Liczba pracowników na początku okresu sprawozdawczego</t>
  </si>
  <si>
    <t>Liczba pracowników na koniec okresu sprawozdawczego</t>
  </si>
  <si>
    <t>Wskaźnik rotacji pracowników [%] w okresie sprawozdawczym</t>
  </si>
  <si>
    <t>B9 – Zasoby pracownicze – Bezpieczeństwo i higiena pracy</t>
  </si>
  <si>
    <t>Liczba podlegających zgłoszeniu wypadków związanych z pracą w okresie sprawozdawczym</t>
  </si>
  <si>
    <t>Liczba godzin przepracowanych przez jednego pracownika zatrudnionego na pełen etat w okresie sprawozdawczym</t>
  </si>
  <si>
    <t>Całkowita liczba godzin przepracowanych w ciągu roku przez wszystkich pracowników w okresie sprawozdawczym</t>
  </si>
  <si>
    <t>Wskaźnik podlegających zgłoszeniu wypadków związanych z pracą w okresie sprawozdawczym</t>
  </si>
  <si>
    <t>Liczba ofiar śmiertelnych w wyniku urazów związanych z pracą i złego stanu zdrowia związanego z pracą</t>
  </si>
  <si>
    <t>Pracownicy otrzymują wynagrodzenie co najmniej równe obowiązującej płacy minimalnej, ustanowionej bezpośrednio na mocy krajowych przepisów dotyczących płacy minimalnej lub układu zbiorowego pracy</t>
  </si>
  <si>
    <t>Średni poziom godzinowego wynagrodzenia brutto pracowników płci żeńskiej</t>
  </si>
  <si>
    <t>Luka płacowa między pracownikami płci żeńskiej i męskiej w ujęciu procentowym w jednostce [%]</t>
  </si>
  <si>
    <t>Średnia liczba godzin szkoleń w ciągu roku na pracownika</t>
  </si>
  <si>
    <t>Liczba pracowników płci męskiej wśród kadry zarządzającej</t>
  </si>
  <si>
    <t>Liczba pracowników płci żeńskiej wśród kadry zarządzającej</t>
  </si>
  <si>
    <t>Współczynnik płci wśród kadry zarządzającej w okresie sprawozdawczym</t>
  </si>
  <si>
    <t>Całkowita liczba osób samozatrudnionych bez personelu, które pracują wyłącznie na rzecz jednostki</t>
  </si>
  <si>
    <t>Całkowita liczba pracowników tymczasowych zapewnionych przez jednostki prowadzące głównie działalność związaną z zatrudnieniem</t>
  </si>
  <si>
    <t>Czy jednostka posiada kodeks postępowania lub politykę dotyczącą praw człowieka dla własnych pracowników?</t>
  </si>
  <si>
    <t>Jeśli tak, czy dokumenty te obejmują takie kwestie jak:</t>
  </si>
  <si>
    <t>Określ inne rodzaje treści objęte kodeksem postępowania lub polityką dotyczącą praw człowieka</t>
  </si>
  <si>
    <t>Czy jednostka dysponuje mechanizmem rozpatrywania skarg dla własnych praconików?</t>
  </si>
  <si>
    <t>Czy jednostka odnotowała potwierdzone incydenty dotyczące własnych pracowników?</t>
  </si>
  <si>
    <t>Jeżeli tak, czy incydenty są związane z:</t>
  </si>
  <si>
    <t>Określ inne prawa człowieka związane z potwierdzonymi incydentami</t>
  </si>
  <si>
    <t>Opis działań podjętych w celu rozwiązania potwierdzonych incydentów</t>
  </si>
  <si>
    <t>Czy jednostka posiada wiedzę na temat jakichkolwiek potwierdzonych incydentów dotyczących osób wykonujących pracę w łańcuchu wartości, dotkniętych społeczności, konsumentów i użytkowników końcowych?</t>
  </si>
  <si>
    <t>Specyfikacja potwierdzonych incydentów dotyczących osób wykonujących pracę w łańcuchu wartości, dotkniętych społeczności, konsumentów i użytkowników końcowych</t>
  </si>
  <si>
    <t>Ujawnienie innych informacji społecznych i/lub informacji społecznych specyficznych dla danej jednostki</t>
  </si>
  <si>
    <t>Czy jednostka otrzymała wyroki skazujące lub podlegała grzywnom w okresie sprawozdawczym?</t>
  </si>
  <si>
    <t>Całkowita liczba wyroków skazujących za naruszenie przepisów antykorupcyjnych i przepisów w sprawie zwalczania przekupstwa</t>
  </si>
  <si>
    <t>Całkowita kwota grzywien za naruszenie przepisów antykorupcyjnych i przepisów w sprawie zwalczania przekupstwa</t>
  </si>
  <si>
    <t xml:space="preserve">Czy jednostka uzyskuje przychody z jednej z poniżej wymienionych działalności? </t>
  </si>
  <si>
    <t>Przychody z kontrowersyjnych rodzajów broni (miny przeciwpiechotne, amunicja kasetowa, broń chemiczna i broń biologiczna)</t>
  </si>
  <si>
    <t>Przychody z uprawy i produkcji tytoniu</t>
  </si>
  <si>
    <t>Przychody z węgla</t>
  </si>
  <si>
    <t>Przychody z ropy naftowej</t>
  </si>
  <si>
    <t>Przychody z gazu</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</si>
  <si>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</si>
  <si>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Przychody z produkcji chemikaliów</t>
  </si>
  <si>
    <t>C8 – Wykluczenie z unijnych wskaźników referencyjnych</t>
  </si>
  <si>
    <t>Jednostki są wyłączone z unijnych wskaźników referencyjnych dostosowanych do porozumienia paryskiego, jeżeli uzyskują:</t>
  </si>
  <si>
    <t>co najmniej 1% swoich przychodów z działalności związanej z poszukiwaniem, wydobyciem, dystrybucją lub rafinacją węgla kamiennego i brunatnego</t>
  </si>
  <si>
    <t>co najmniej 10% swoich przychodów z działalności związanej z poszukiwaniem, wydobyciem, dystrybucją lub rafinacją paliw olejowych</t>
  </si>
  <si>
    <t>co najmniej 50% swoich przychodów z działalności związanej z poszukiwaniem, wydobyciem, dystrybucją lub rafinacją paliw gazowych</t>
  </si>
  <si>
    <t>50% swoich przychodów z produkcji energii elektrycznej, której intensywność emisji gazów cieplarnianych wynosi powyżej 100 g CO2e/kWh</t>
  </si>
  <si>
    <t>żadne z powyższych</t>
  </si>
  <si>
    <t>Jednostki są wykluczone z jakichkolwiek unijnych wskaźników referencyjnych, które są zgodne z porozumieniem paryskim.</t>
  </si>
  <si>
    <t>C9 – Wskaźnik zróżnicowania organu zarządzającego pod względem płci</t>
  </si>
  <si>
    <t>Czy jednostka posiada organ zarządzający?</t>
  </si>
  <si>
    <t>Liczba kobiet w organie zarządzającym na koniec okresu sprawozdawczego</t>
  </si>
  <si>
    <t>Liczba mężczyzn w organie zarządzającym na koniec okresu sprawozdawczego</t>
  </si>
  <si>
    <t>Wskaźnik zróżnicowania organu zarządzającego pod względem płci</t>
  </si>
  <si>
    <t>Ujawnienie wszelkich innych ujawnień dotyczących ładu korporacyjnego i/lub ujawnień dotyczących ładu korporacyjnego specyficznych dla danej jednostki</t>
  </si>
  <si>
    <t>ZASTRZEŻENIE:</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</si>
  <si>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</si>
  <si>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</si>
  <si>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</si>
  <si>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Wskazuje, że komórka powinna być wypełniona przez wybranie wartości z listy rozwijanej (np. Rodzaj paliwa lub Jednostka miary) lub przez wprowadzenie ilości.</t>
  </si>
  <si>
    <t>Ilość</t>
  </si>
  <si>
    <t>Użytkowanie konwertera paliwa:</t>
  </si>
  <si>
    <t>1. W komórce A9 wybierz użyte paliwo, wyszukując je lub przewijając w dół wyświetlaną listę i klikając komórkę</t>
  </si>
  <si>
    <t>2. W komórce B9 wybierz użytą jednostkę miary</t>
  </si>
  <si>
    <t>5 W komórce E9 wyświetlany jest Typowy stan odnawialności dla wybranego paliwa</t>
  </si>
  <si>
    <t>6. W komórce F9 wyświetlana jest energia wyprodukowana w megawatogodzinach (MWh) przez określoną ilość paliwa</t>
  </si>
  <si>
    <t>Przenieś całkowite obliczone wyniki do komórki B3 Zużycie energii paliwowej</t>
  </si>
  <si>
    <t>Całkowita energia [MWh]</t>
  </si>
  <si>
    <t>Całkowita energia odnawialna [MWh]</t>
  </si>
  <si>
    <t>Całkowita energia nieodnawialna [MWh]</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</si>
  <si>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</si>
  <si>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Energia [MWh] = Masa [t] * NCV [MWh/t]</t>
  </si>
  <si>
    <t>Zużycie energii na godzinę w MWh dla paliw ciekłych:</t>
  </si>
  <si>
    <t>PRZELICZNIK JEDNOSTEK MIARY</t>
  </si>
  <si>
    <t>Jednostka miary przelicznika masy</t>
  </si>
  <si>
    <t>Jednostka miary przelicznika objętości</t>
  </si>
  <si>
    <t>Jednostka miary przelicznika NCV</t>
  </si>
  <si>
    <t>Jednostka miary przelicznika gęstości</t>
  </si>
  <si>
    <t>Użytkowanie Przelicznika jednostek miar</t>
  </si>
  <si>
    <t>Kroki do wykonania dla Tabeli masy:</t>
  </si>
  <si>
    <t>1. W komórce B5 tabeli dotyczącej Jednostki miary przelicznika masy powinna zostać wstawiona jednostka miary do przeliczenia.</t>
  </si>
  <si>
    <t>3. Na koniec w komórce D5 powinna znaleźć się interesująca nas jednostka miary.</t>
  </si>
  <si>
    <t>Kroki do wykonania dla pozostałych tabel (Objętość, Zużycie energii, Gęstość i NCV) są takie same jak dla Tabeli masy.</t>
  </si>
  <si>
    <t>Poniżej określono wszystkie przeliczenia jednostek miar dla każdej tabeli.</t>
  </si>
  <si>
    <t>▪ Jednostka miary przelicznika masy:</t>
  </si>
  <si>
    <t>▪ Jednostka miary przelicznika objętości:</t>
  </si>
  <si>
    <t>▪ Jednostka miary przelicznika energii:</t>
  </si>
  <si>
    <t>▪ Jednostka miary przelicznika gęstości:</t>
  </si>
  <si>
    <t>▪ Jednostka miary przelicznika NCV:</t>
  </si>
  <si>
    <t>NIEKOMPLETNY</t>
  </si>
  <si>
    <t>KOMPLETNY</t>
  </si>
  <si>
    <t>BRAK WARTOŚCI</t>
  </si>
  <si>
    <t>BŁĄD + BRAK WARTOŚCI + NIESPÓJNOŚĆ WARTOŚCI</t>
  </si>
  <si>
    <t>BŁĄD + BRAK WARTOŚCI</t>
  </si>
  <si>
    <t>BRAKUJĄCA WARTOŚĆ + NIESPÓJNOŚĆ WARTOŚCI</t>
  </si>
  <si>
    <t>NIEPOPRAWNY URL</t>
  </si>
  <si>
    <t>ℹ️ Paliwo ciekłe: proszę wybrać jedną jednostkę miary spośród m³ i L</t>
  </si>
  <si>
    <t>ℹ️ Identyfikator jednostki to unikalne ID, które umożliwi identyfikację jednostki, która przekazała informacje. Standard VSME nie wymaga konkretnego identyfikatora. Identyfikator jednostki jest wymagany do sprawozdawczości elektronicznej.</t>
  </si>
  <si>
    <t>ℹ️ Jeśli po prawej stronie pojawi się komunikat NIESPÓJNOŚĆ WARTOŚCI, upewnij się, że data zakończenia okresu sprawozdawczego jest późniejsza niż data rozpoczęcia okresu sprawozdawczego.</t>
  </si>
  <si>
    <t>ℹ️ Listy można rozwijać, używając małego przycisku [+] po lewej stronie. Jeśli liczba wierszy jest niewystarczająca, można je dodać, klikając prawym przyciskiem myszy drugi wiersz i wybierając „Wstaw wiersz”.</t>
  </si>
  <si>
    <t>ℹ️ Jeżeli wybrano „inne” jako formę prawną jednostki, proszę wypełnić poniższy wiersz.</t>
  </si>
  <si>
    <t>ℹ️ Proszę wybrać kod NACE zamiast kategorii, w przeciwnym razie pojawi się komunikat BŁĄD.</t>
  </si>
  <si>
    <t>ℹ️ Proszę pamiętać, aby oddzielać każdy numer ulicy i numer domu za pomocą symbolu ukośnika "/" a nie przecinka ",".</t>
  </si>
  <si>
    <t>ℹ️ Proszę zauważyć, że formuła obecna w tej komórce może zostać nadpisana, jeśli jednostka zdecyduje się bezpośrednio wprowadzić wartość.</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</si>
  <si>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</si>
  <si>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ℹ️ Jeśli pojawi się walidacja dotycząca niespójności wartości, proszę wybrać identyfikator lokalizacji (site ID) różny od wcześniej wybranych.</t>
  </si>
  <si>
    <t>ℹ️ Proszę wybrać Rodzaj odpadu (niebezpieczny lub inne niż niebezpieczny), a nie kategorię, w przeciwnym razie pojawi się komunikat BŁĄD.</t>
  </si>
  <si>
    <t>ℹ️ Prosimy upewnić się, że łączna liczba pracowników jest taka sama jak podana w arkuszu "Informacje ogólne" w komórce E55.</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</si>
  <si>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</si>
  <si>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Polish - Reviewed translation by Polish Standard Setter</t>
  </si>
  <si>
    <t>· C8 - Revenues from certain activities and exclusion from EU reference benchmarks</t>
  </si>
  <si>
    <t>Revenues from certain activities</t>
  </si>
  <si>
    <t>Prepared in accordance with the Voluntary Sustainability Reporting Standard for small and medium-sized undertakings (VSME), released by the European Commission on 30 July 2025.</t>
  </si>
  <si>
    <t>5. Convert this template to an Inline XBRL report (or XBRL-JSON, XBRL-CSV), using the online converter. Pay attention to the XBRL validation performed by the validator.</t>
  </si>
  <si>
    <t>B1 – Basis for preparation</t>
  </si>
  <si>
    <t>B2 – Practices, policies and future initiatives for transitioning towards a more sustainable economy</t>
  </si>
  <si>
    <t>B3 – Energy and greenhouse gas emissions</t>
  </si>
  <si>
    <t>B4 – Pollution of air, water and soil</t>
  </si>
  <si>
    <t>B5 – Biodiversity</t>
  </si>
  <si>
    <t>B6 – Water</t>
  </si>
  <si>
    <t>B7 – Resource use, circular economy and waste management</t>
  </si>
  <si>
    <t>B8 – Workforce – General characteristics</t>
  </si>
  <si>
    <t>B10 – Workforce – Remuneration, collective bargaining and training</t>
  </si>
  <si>
    <t>C2 – Description of practices, policies and future initiatives for transitioning towards a more sustainable economy</t>
  </si>
  <si>
    <t>C3 – GHG reduction targets and climate transition</t>
  </si>
  <si>
    <t>C8 – Revenues from certain sectors and exclusion from EU reference benchmarks</t>
  </si>
  <si>
    <t>Validación VALOR NO INFORMADO/ERROR/INCONSISTENCIA DE VALOR/URL INVÁLIDA</t>
  </si>
  <si>
    <t>Validación correcta</t>
  </si>
  <si>
    <t>Información sobre Gobernanza</t>
  </si>
  <si>
    <t>Referencia al párrafo de la Guía</t>
  </si>
  <si>
    <t>[Siempre debe informarse]</t>
  </si>
  <si>
    <t>[Podrá (opcional)]</t>
  </si>
  <si>
    <t>Podrá (opcional)</t>
  </si>
  <si>
    <t>Divisa de los valores monetarios en el informe</t>
  </si>
  <si>
    <t>Personal propio</t>
  </si>
  <si>
    <t>Descripción de los grupos significativos de productos o servicios ofrecidos</t>
  </si>
  <si>
    <t>Descripción de aquellos elementos clave en la estrategia que se relacionan o afecten a cuestiones de sostenibilidad</t>
  </si>
  <si>
    <t>¿La empresa divulga información específica sobre las emisiones de Alcance 3 (en tCO2e)?</t>
  </si>
  <si>
    <t>Activos arrendados aguas arriba</t>
  </si>
  <si>
    <t>Emisiones a la atmosfera</t>
  </si>
  <si>
    <t>Vertidos al agua</t>
  </si>
  <si>
    <t>Vertidos al suelo</t>
  </si>
  <si>
    <t>No Informado</t>
  </si>
  <si>
    <t>Empresas que generan el 1 % o más de sus ingresos procedentes de la exploración, la extracción, la distribución o el refinado de hulla y lignito.</t>
  </si>
  <si>
    <t xml:space="preserve">VALOR NO INFORMADO </t>
  </si>
  <si>
    <t>ERROR+INCONSISTENCIA DE VALOR</t>
  </si>
  <si>
    <t>ERROR+VALOR NO INFORMADO+INCONSISTENCIA DE VALOR</t>
  </si>
  <si>
    <t xml:space="preserve">ERROR+VALOR NO INFORMADO </t>
  </si>
  <si>
    <t>VALOR NO INFORMADO+ INCOSISTENCIA DE VALOR</t>
  </si>
  <si>
    <t>Divisa del informe</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</si>
  <si>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</si>
  <si>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 C1 – Estrategia: modelo de negocio y sostenibilidad – Iniciativas relacionadas</t>
  </si>
  <si>
    <t>Divulgación de cualquier otra información ambiental y/o información ambiental específica de la entidad</t>
  </si>
  <si>
    <t>· Divulgación de cualquier otra información sobre gobernanza y/o información sobre gobernanza específica de la entidad</t>
  </si>
  <si>
    <t>Metodología para el recuento de empleados (Al final del período de informe o como promedio durante el período de informe)</t>
  </si>
  <si>
    <t>Metodología para el recuento de empleados (Número de personas o equivalente a jornada completa)</t>
  </si>
  <si>
    <t>C1 – Estrategia: modelo de negocio y sostenibilidad – Iniciativas relacionadas</t>
  </si>
  <si>
    <t>B8 –Trabajadores– Características generales - Tipo de contrato</t>
  </si>
  <si>
    <t>Número de accidentes de trabajo registrados en el período de informe</t>
  </si>
  <si>
    <t>Número de empelados cubiertos por convenios de negociación colectiva</t>
  </si>
  <si>
    <t>Porcentaje de empleados cubiertos por convenios de negociación colectiva [%]</t>
  </si>
  <si>
    <t>Ingresos derivados de armas controvertidas (minas antipersona, municiones en racimo, armas químicas y armas biológicas)</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</si>
  <si>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</si>
  <si>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</si>
  <si>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</si>
  <si>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</si>
  <si>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Nombre de la entidad</t>
  </si>
  <si>
    <t>Esquema de Identificador de Entidad</t>
  </si>
  <si>
    <t>Periodo del informe</t>
  </si>
  <si>
    <t>Todas las divulgaciones se refieren al período de reporte indicado arriba, salvo que se especifique lo contrario.</t>
  </si>
  <si>
    <t>Tabla de contenido</t>
  </si>
  <si>
    <t>Periodo de reporte:</t>
  </si>
  <si>
    <t>Punto de entrada a la taxonomía:</t>
  </si>
  <si>
    <t>Seleccionar el idioma de visualización de la plantilla:</t>
  </si>
  <si>
    <t>Informe de Sostenibilidad</t>
  </si>
  <si>
    <t xml:space="preserve">Subtítulo del informe
</t>
  </si>
  <si>
    <t>Plantilla Digital VSME</t>
  </si>
  <si>
    <t>Cómo utilizarlo:</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</si>
  <si>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</si>
  <si>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4. Valide los datos introducidos comprobando el estado de validación. Se considera que el informe está incompleto o contiene errores si la validación falla, lo que podría resultar en un informe XBRL no válido.</t>
  </si>
  <si>
    <t xml:space="preserve">Principios generales
</t>
  </si>
  <si>
    <t>Indica que la divulgación proviene de los principios generales del VSME.</t>
  </si>
  <si>
    <t>Indica que la divulgación proviene del Módulo Básico VSME.</t>
  </si>
  <si>
    <t>Indica que la divulgación proviene del Módulo Completo VSME.</t>
  </si>
  <si>
    <t xml:space="preserve">Indica que la celda se calcula automáticamente y que no se requiere introducir datos. 
</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</si>
  <si>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</si>
  <si>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Indica que no se requiere ninguna entrada de datos a menos que se seleccionen ciertas lógicas en la propia divulgación. Cuando se selecciona una de estas lógicas, entonces esta celda se pondrá blanca.</t>
  </si>
  <si>
    <t>Indica que la entrada de datos es incorrecta en cuanto al formato o que falta cierta información para informar correctamente sobre la divulgación.</t>
  </si>
  <si>
    <t>Las listas se pueden expandir utilizando el botón más [+] situado a la izquierda. Si el número de filas no es suficiente, se pueden añadir filas adicionales haciendo clic con el botón derecho en la segunda fila y seleccionando "Insertar fila".</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</si>
  <si>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</si>
  <si>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 xml:space="preserve">Los derechos de reproducción y uso están estrictamente limitados. Para más detalles, por favor contacte a efragsecretariat@efrag.org
</t>
  </si>
  <si>
    <t>Estado general de validación</t>
  </si>
  <si>
    <t>La agrupación de contenidos sigue el marco del modelo</t>
  </si>
  <si>
    <t>Estado de Validación de Contenido Específico</t>
  </si>
  <si>
    <t>· Información del informe necesaria para XBRL</t>
  </si>
  <si>
    <t>Información sobre el periodo de reporte anterior</t>
  </si>
  <si>
    <t>Base para la preparación e información general de la otra empresa</t>
  </si>
  <si>
    <t>Relación de filiales</t>
  </si>
  <si>
    <t>Divulgación de la(s) certificación(es) o etiqueta(s) relacionada(s) con la sostenibilidad</t>
  </si>
  <si>
    <t>Lista de sitio(s)</t>
  </si>
  <si>
    <t>Divulgaciones específicas de cooperativas</t>
  </si>
  <si>
    <t>Divulgaciones Ambientales</t>
  </si>
  <si>
    <t>Emisiones brutas estimadas de gases de efecto invernadero considerando el Protocolo GHG versión 2004 (en tCO2e)</t>
  </si>
  <si>
    <t>Intensidad de emisión de gases de efecto invernadero por volumen de negocios</t>
  </si>
  <si>
    <t>B4 – Contaminación de la atmósfera, del agua y del suelo</t>
  </si>
  <si>
    <t>Sitios en zonas sensibles para la biodiversidad</t>
  </si>
  <si>
    <t>· B7 - Uso de los recursos, economía circular y gestión de residuos</t>
  </si>
  <si>
    <t>Flujo de masa anual de materiales pertinentes utilizados</t>
  </si>
  <si>
    <t>Divulgaciones Sociales</t>
  </si>
  <si>
    <t>C2 – Descripción de las prácticas, políticas e iniciativas futuras para la transición hacia una economía más sostenible</t>
  </si>
  <si>
    <t>· C3 - Metas de reducción de GEI y transición climática</t>
  </si>
  <si>
    <t>Objetivos de reducción de GEI (en tCO2e)</t>
  </si>
  <si>
    <t>Divulgación de la lista de acciones principales que la entidad busca implementar para alcanzar sus objetivos</t>
  </si>
  <si>
    <t>Plan de transición para empresas que operan en sectores de alto impacto climático</t>
  </si>
  <si>
    <t>C5 – Características (generales) adicionales de los trabajadores</t>
  </si>
  <si>
    <t>C6 – Información adicional sobre el personal propio – Políticas y procesos en materia de derechos humanos</t>
  </si>
  <si>
    <t>· C7 - Incidentes graves negativos de derechos humanos</t>
  </si>
  <si>
    <t>C9 – Índice de diversidad de género en el órgano de gobierno</t>
  </si>
  <si>
    <t>Referencia de párrafo</t>
  </si>
  <si>
    <t>[Si procede]</t>
  </si>
  <si>
    <t>[Siempre debe informarse + Si procede]</t>
  </si>
  <si>
    <t>importe en</t>
  </si>
  <si>
    <t>Información sobre el informe necesaria para XBRL</t>
  </si>
  <si>
    <t>Identificador de la entidad que presenta el informe (seleccione y especifique a la derecha)</t>
  </si>
  <si>
    <t>Fecha de inicio del período informado (aaaa-mm-dd)</t>
  </si>
  <si>
    <t>Día final</t>
  </si>
  <si>
    <t>Fecha de finalización del período de reporte (aaaa-mm-dd)</t>
  </si>
  <si>
    <t>Este informe contiene divulgaciones del período de reporte anterior que permanecen sin cambios.</t>
  </si>
  <si>
    <t>Lista de revelaciones para las cuales no se reportan cambios en comparación con el informe del período anterior</t>
  </si>
  <si>
    <t>B1 - Base para la elaboración y otra información general del empresario</t>
  </si>
  <si>
    <t>Base para la preparación (Solo Módulo Básico o Módulo Básico y Comprensivo)</t>
  </si>
  <si>
    <t>Lista de divulgaciones omitidas consideradas como información clasificada o sensible</t>
  </si>
  <si>
    <t>Forma jurídica de la entidad</t>
  </si>
  <si>
    <t>Códigos de clasificación sectorial NACE</t>
  </si>
  <si>
    <t>Volumen del balance (total de activos) en</t>
  </si>
  <si>
    <t>Número de asalariados</t>
  </si>
  <si>
    <t>País de las operaciones principales y ubicación del activo o activos significativos</t>
  </si>
  <si>
    <t>Domicilio social</t>
  </si>
  <si>
    <t>B1 - Divulgación de certificación(es) o etiqueta(s) relacionada(s) con la sostenibilidad</t>
  </si>
  <si>
    <t>Descripción de certificación(es) o etiqueta(s) relacionada(s) con la sostenibilidad, incluyendo, cuando proceda, las entidades emisoras de la certificación o etiqueta, la fecha y la puntuación de la valoración</t>
  </si>
  <si>
    <t>B1 - Listado de emplazamiento(s)</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</si>
  <si>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</si>
  <si>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¿Ha establecido la empresa prácticas, políticas y/o iniciativas futuras específicas para la transición hacia una economía más sostenible?</t>
  </si>
  <si>
    <t>Cuestiones de sostenibilidad abordadas por prácticas, políticas y/o futuras iniciativas que la empresa ha implementado</t>
  </si>
  <si>
    <t>La empresa tiene una política de prácticas y/o una iniciativa futura que está disponible públicamente.</t>
  </si>
  <si>
    <t>La empresa ha establecido un objetivo que está relacionado con una política</t>
  </si>
  <si>
    <t>Agua y recursos marinos</t>
  </si>
  <si>
    <t>Trabajadores en la cadena de valor</t>
  </si>
  <si>
    <t>La participación efectiva de los trabajadores, usuarios u otras partes interesadas o colectivos en la gobernanza</t>
  </si>
  <si>
    <t>la inversión financiera en el capital o los activos de las entidades de economía social a que se refiere la Recomendación del Consejo de 29 de septiembre de 2023 (excluidas las donaciones y las contribuciones)</t>
  </si>
  <si>
    <t>Cualquier límite a la distribución de beneficios vinculado a la naturaleza mutualista o a la naturaleza de las actividades consistentes en servicios de interés económico general (SGEI)</t>
  </si>
  <si>
    <t>Descripción de una práctica, política y/o iniciativa futura hacia un futuro más sostenible (En caso de que la práctica, política o iniciativa futura incluya a proveedores o clientes, la entidad deberá mencionarlo)</t>
  </si>
  <si>
    <t>Descripción del objetivo relacionado con una política</t>
  </si>
  <si>
    <t>El nivel más alto dentro de sus empleados que es responsable de implementar las políticas cuando esto ha sido determinado por la empresa.</t>
  </si>
  <si>
    <t>Descripción de los mercados significativos en los que opera la empresa (por ejemplo, B2B, mayorista, minorista, países)</t>
  </si>
  <si>
    <t>Una descripción de las principales relaciones comerciales (proveedores clave, clientes, canales de distribución)</t>
  </si>
  <si>
    <t>¿Tiene la estrategia elementos clave que se relacionan o afectan a cuestiones de sostenibilidad?</t>
  </si>
  <si>
    <t>Divulgación de cualquier otra información general y/o específica de la entidad sobre el periodo de informe</t>
  </si>
  <si>
    <t>B3 – Consumo total de energía (en MWh)</t>
  </si>
  <si>
    <t xml:space="preserve">Consumo total de energía
</t>
  </si>
  <si>
    <t>Electricidad (según se refleja en las facturas de servicios)</t>
  </si>
  <si>
    <t>Electricidad autoproducida</t>
  </si>
  <si>
    <t>Combustibles (ver Convertidor de Combustibles en la hoja Combustibles)</t>
  </si>
  <si>
    <t>B3 – Emisiones brutas estimadas de gases de efecto invernadero considerando el Protocolo GEI versión 2004 (en tCO2e)</t>
  </si>
  <si>
    <t>C3 - Metas de reducción de GEI (en tCO2e)</t>
  </si>
  <si>
    <t>¿La empresa ha establecido objetivos de reducción de emisiones de gases de efecto invernadero (GHG)?</t>
  </si>
  <si>
    <t>Periodo de informe actual</t>
  </si>
  <si>
    <t>Año de referencia</t>
  </si>
  <si>
    <t>Reducción porcentual respecto al año base</t>
  </si>
  <si>
    <t>Emisiones brutas de GEI de Alcance 1</t>
  </si>
  <si>
    <t>Emisiones brutas de gases de efecto invernadero (GEI) de alcance 2 basadas en el mercado</t>
  </si>
  <si>
    <t>Emisiones totales de GEI de Alcance 1 y Alcance 2 (basadas en la ubicación)</t>
  </si>
  <si>
    <t>Emisiones totales de GEI de Alcance 1 y Alcance 2 (basadas en el mercado)</t>
  </si>
  <si>
    <t>3. Actividades relacionadas con el combustible y la energía (no incluidas en el Alcance 1 ni en el Alcance 2)</t>
  </si>
  <si>
    <t>7. Desplazamiento de empleados</t>
  </si>
  <si>
    <t>11. Uso de productos vendidos</t>
  </si>
  <si>
    <t>Emisiones totales de GEI de Alcance 3</t>
  </si>
  <si>
    <t>Emisiones totales de GEI de Alcance 1, Alcance 2 y Alcance 3 (basadas en la ubicación)</t>
  </si>
  <si>
    <t>Emisiones totales de gases de efecto invernadero de Alcance 1, Alcance 2 y Alcance 3 (basadas en el mercado)</t>
  </si>
  <si>
    <t>C3 - Divulgación de la lista de principales actuaciones que la entidad busca llevar a cabo para alcanzar sus metas</t>
  </si>
  <si>
    <t>C3 - Plan de transición para empresas que operan en sectores de alto impacto climático</t>
  </si>
  <si>
    <t>Estado de implementación de un plan de transición en relación con la mitigación del cambio climático</t>
  </si>
  <si>
    <t>Descripción de un plan de transición para la mitigación del cambio climático, incluida una explicación de cómo contribuye a reducir las emisiones de gases de efecto invernadero (GEI)</t>
  </si>
  <si>
    <t>Fecha prevista de adopción del plan de transición para la empresa que aún no ha adoptado un plan de transición</t>
  </si>
  <si>
    <t>B3 - Intensidad de las emisiones de gases de efecto invernadero por facturación (en tCO2e)</t>
  </si>
  <si>
    <t>Intensidad de las emisiones de GEI de Alcance 1 y Alcance 2 (basada en la ubicación)</t>
  </si>
  <si>
    <t>Intensidad de las emisiones de GEI de Alcance 1 y Alcance 2 (basado en el mercado)</t>
  </si>
  <si>
    <t>Intensidad total de emisiones de GEI Alcance 1, Alcance 2 y Alcance 3 (basada en la ubicación)</t>
  </si>
  <si>
    <t>Intensidad total de emisiones de GEI de Alcance 1, Alcance 2 y Alcance 3 (basada en el mercado)</t>
  </si>
  <si>
    <t>¿La empresa ya está legalmente obligada por la ley u otras normativas nacionales a informar a las autoridades competentes sobre sus emisiones de contaminantes o ya las informa voluntariamente conforme a un Sistema de Gestión Ambiental?</t>
  </si>
  <si>
    <t>¿Esta divulgación ya está públicamente disponible?</t>
  </si>
  <si>
    <t>Por favor, proporcione el enlace URL relevante o el hipervínculo donde se informa esta información.</t>
  </si>
  <si>
    <t>Por favor, seleccione la unidad utilizada para informar la cantidad (es decir, ya sea kg o tonelada)</t>
  </si>
  <si>
    <t>B5 – Emplazamientos en zonas sensibles en cuanto a la biodiversidad</t>
  </si>
  <si>
    <t xml:space="preserve">¿La empresa tiene emplazamientos situados en o cerca de zonas sensibles en cuanto a la biodiversidad? 
</t>
  </si>
  <si>
    <t>Por favor, seleccione la unidad que se utiliza para el área (es decir, hectáreas o m²):</t>
  </si>
  <si>
    <t>ID del sitio relacionado (seleccione un ID de una ubicación del sitio reportada en B1)</t>
  </si>
  <si>
    <t xml:space="preserve">Ubicación del sitio cerca de un área de biodiversidad - completado automáticamente desde B1
</t>
  </si>
  <si>
    <t>Área (hectáreas o m² según la selección anterior)</t>
  </si>
  <si>
    <t>Emplazamiento situado en una zona sensible en cuanto a la biodiversidad</t>
  </si>
  <si>
    <t>Emplazamiento situado cerca de una zona sensible en cuanto a la biodiversidad</t>
  </si>
  <si>
    <t>B5 - Biodiversidad - Uso del suelo</t>
  </si>
  <si>
    <t>Tipo de uso de la tierra</t>
  </si>
  <si>
    <t>Superficie sellada total</t>
  </si>
  <si>
    <t>Superficie total en el emplazamiento orientada según la naturaleza</t>
  </si>
  <si>
    <t>Superficie total fuera del emplazamiento orientada según la naturaleza</t>
  </si>
  <si>
    <t>Cantidad total de agua extraída de todos los emplazamientos (metros cúbicos m³)</t>
  </si>
  <si>
    <t>Cantidad de agua extraída en emplazamientos situados en zonas con un alto estrés hídrico (metros cúbicos m³)</t>
  </si>
  <si>
    <t xml:space="preserve">B6 - Consumo de agua
</t>
  </si>
  <si>
    <t xml:space="preserve">¿La empresa cuenta con procesos de producción que consumen una cantidad significativa de agua (por ejemplo, procesos de energía térmica como el secado o la producción de energía, producción de bienes, riego agrícola, etc.)? 
</t>
  </si>
  <si>
    <t>Vertido de agua procedente de los procesos de producción de la empresa (m³)</t>
  </si>
  <si>
    <t>B7 – Descripción de los principios de la economía circular</t>
  </si>
  <si>
    <t>La empresa divulgará si aplica los principios de la economía circular y, en caso afirmativo, cómo los aplica.</t>
  </si>
  <si>
    <t>Descripción de cómo se aplican estos principios</t>
  </si>
  <si>
    <t>B7 – Uso de los residuos generados</t>
  </si>
  <si>
    <t>Tipo de residuos</t>
  </si>
  <si>
    <t>Residuos dirigidos a eliminación</t>
  </si>
  <si>
    <t>Cantidad de residuos desviados para su reciclaje, reutilización y destinados a la eliminación</t>
  </si>
  <si>
    <t>Residuo peligroso total generado (masa)</t>
  </si>
  <si>
    <t>Residuos no peligrosos generados totales (masa)</t>
  </si>
  <si>
    <t>Residuos peligrosos generados totales (volumen)</t>
  </si>
  <si>
    <t>Residuos no peligrosos totales generados (volumen)</t>
  </si>
  <si>
    <t>Residuos totales generados (volumen)</t>
  </si>
  <si>
    <t>B7 – Flujo anual de masa de materiales relevantes utilizados</t>
  </si>
  <si>
    <t>¿Opera la empresa en un sector que utiliza flujos materiales significativos (por ejemplo, manufactura, construcción, embalaje u otros)?</t>
  </si>
  <si>
    <t>Flujo anual total de masa de materiales relevantes utilizados (masa en kg)</t>
  </si>
  <si>
    <t>Flujo anual total de masa de materiales relevantes utilizados (volumen en m³)</t>
  </si>
  <si>
    <t>¿La empresa ha identificado peligros relacionados con el clima y eventos de transición climática que crean riesgos climáticos brutos para la empresa?</t>
  </si>
  <si>
    <t>Descripción de peligros relacionados con el clima y eventos relacionados con la transición climática</t>
  </si>
  <si>
    <t>Divulgación de cómo ha evaluado la exposición y la sensibilidad de sus activos, actividades y cadena de valor a estos peligros y sucesos de transición.</t>
  </si>
  <si>
    <t>Divulgación sobre si ha emprendido actuaciones de adaptación al cambio climático con respecto a cualquier peligro y suceso de transición relacionado con el clima.</t>
  </si>
  <si>
    <t>La empresa podrá indicar los posibles efectos adversos de los riesgos climáticos que puedan afectar a su rendimiento financiero o a sus operaciones empresariales a corto, medio o largo plazo, indicando si considera que dichos riesgos son elevados, medios y bajos.</t>
  </si>
  <si>
    <t>Metodología para el recuento de empleados para las divulgaciones siguientes (Número de empleados o Equivalente a tiempo completo vinculado desde B1)</t>
  </si>
  <si>
    <t>Metodología de recuento de empleados para las divulgaciones siguientes (Al final del período de reporte o como un promedio durante el período de reporte vinculado desde B1)</t>
  </si>
  <si>
    <t>Total de asalariados (vinculados a B1)</t>
  </si>
  <si>
    <t>B8 – Trabajadores – Características generales – Género</t>
  </si>
  <si>
    <t>Femenino</t>
  </si>
  <si>
    <t>B8 – Trabajadores – Características generales - País de empleo</t>
  </si>
  <si>
    <t xml:space="preserve">País del contrato de trabajo
</t>
  </si>
  <si>
    <t>B8 – Trabajadores – Características generales - Tasa de rotación</t>
  </si>
  <si>
    <t>Número de empleados que abandonaron durante el periodo de referencia</t>
  </si>
  <si>
    <t>Número de empleados al inicio del período de informe</t>
  </si>
  <si>
    <t>Número de empleados al final del período de reporte</t>
  </si>
  <si>
    <t>Tasa de rotación de empleados [%] durante el período de informe</t>
  </si>
  <si>
    <t xml:space="preserve">B9 – Trabajadores – Salud y seguridad
</t>
  </si>
  <si>
    <t>Número de horas trabajadas por un empleado a tiempo completo en el período de informe</t>
  </si>
  <si>
    <t>Número total de horas trabajadas en un año por todos los empleados en el período de reporte</t>
  </si>
  <si>
    <t>Tasa de accidentes de trabajo registrables en el período de informe</t>
  </si>
  <si>
    <t>Número de muertes como consecuencia de lesiones y problemas de salud relacionados con el trabajo.</t>
  </si>
  <si>
    <t xml:space="preserve">B10 – Trabajadores – Retribución, negociación colectiva y formación
</t>
  </si>
  <si>
    <t>Los empleados reciben un sueldo que es igual o superior al salario mínimo aplicable determinado directamente por la ley nacional de salario mínimo o mediante un convenio colectivo.</t>
  </si>
  <si>
    <t>Nivel medio bruto de remuneración por hora de los empleados masculinos</t>
  </si>
  <si>
    <t>Nivel medio bruto de remuneración por hora de las empleadas</t>
  </si>
  <si>
    <t>Porcentaje de brecha salarial entre las empleadas y los empleados de la empresa [%]</t>
  </si>
  <si>
    <t>Número medio anual de horas de formación por empleado</t>
  </si>
  <si>
    <t>Número de empleados masculinos a nivel directivo</t>
  </si>
  <si>
    <t>Número de empleadas a nivel directivo</t>
  </si>
  <si>
    <t>Ratio mujeres/hombres a nivel directivo para el período de informe</t>
  </si>
  <si>
    <t>Total de trabajadores por cuenta propia sin personal que trabajan exclusivamente para la empresa</t>
  </si>
  <si>
    <t>¿Dispone la empresa de un código de conducta o de una política de derechos humanos para su personal propio?</t>
  </si>
  <si>
    <t>Si es así, ¿cubriría esto:}</t>
  </si>
  <si>
    <t>· trata de seres humanos</t>
  </si>
  <si>
    <t>· otro? (en caso afirmativo especifique)</t>
  </si>
  <si>
    <t>Especifique otros tipos de contenido cubiertos por el código de conducta o la política de derechos humanos</t>
  </si>
  <si>
    <t>¿Dispone la empresa de un mecanismo de gestión de reclamaciones para su personal propio?</t>
  </si>
  <si>
    <t>C7 – Incidentes graves negativos de derechos humanos</t>
  </si>
  <si>
    <t>¿Ha confirmado la empresa incidentes entre su personal propio?</t>
  </si>
  <si>
    <t>Si es así, ¿los incidentes están relacionados con:}</t>
  </si>
  <si>
    <t>Especifique otros derechos humanos relacionados con los incidentes confirmados</t>
  </si>
  <si>
    <t>Descripción de las actuaciones llevadas a cabo para abordar los incidentes confirmados</t>
  </si>
  <si>
    <t>¿Está la empresa al tanto de algún incidente confirmado que involucre a trabajadores en la cadena de valor, comunidades afectadas, consumidores y usuarios finales?</t>
  </si>
  <si>
    <t>¿Tiene conocimiento la empresa de cualquier incidente confirmado en el que estén involucrados trabajadores de la cadena de valor, colectivos afectados, consumidores y usuarios finales? En caso afirmativo, especifíquese.</t>
  </si>
  <si>
    <t>Divulgación de cualquier otra divulgación social y/o específica de la entidad</t>
  </si>
  <si>
    <t>B11 — Condenas y multas por corrupción y soborno</t>
  </si>
  <si>
    <t>¿La empresa ha incurrido en condenas y multas en el período de referencia?</t>
  </si>
  <si>
    <t>Número total de condenas por infracción de las leyes anticorrupción y antisoborno</t>
  </si>
  <si>
    <t>Importe total de las multas por infringir las leyes anticorrupción y antisoborno.</t>
  </si>
  <si>
    <t>C8 – Ingresos de determinadas actividades</t>
  </si>
  <si>
    <t>Ingresos derivados del cultivo y la producción de tabaco</t>
  </si>
  <si>
    <t>empresas que obtienen el 10 % o más de sus ingresos de la exploración, extracción, distribución o refinación de combustibles derivados del petróleo</t>
  </si>
  <si>
    <t>Las empresas que obtengan un 50 % o más de sus ingresos de la prospección, la extracción, la fabricación o la distribución de combustibles gaseosos.</t>
  </si>
  <si>
    <t>Las empresas que obtengan un 50 % o más de sus ingresos de la generación de electricidad con una intensidad de gases de efecto invernadero superior a los 100 g CO2 e/kWh.</t>
  </si>
  <si>
    <t>Las empresas están excluidas de cualquier punto de referencia de la UE alineado con el Acuerdo de París.</t>
  </si>
  <si>
    <t xml:space="preserve">¿La empresa tiene un órgano de gobernanza establecido? 
</t>
  </si>
  <si>
    <t>Número de miembros femeninos del consejo al final del período de reporte</t>
  </si>
  <si>
    <t>Número de miembros masculinos del consejo al final del período de reporte</t>
  </si>
  <si>
    <t>Divulgación de cualquier otra información de gobernanza y/o divulgaciones específicas de gobernanza de la entidad</t>
  </si>
  <si>
    <t>AVISO LEGAL:</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</si>
  <si>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</si>
  <si>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Indica que la celda debe rellenarse bien seleccionando un valor del desplegable (por ejemplo, Tipo de combustible o Unidad de medida) o introduciendo una cantidad.</t>
  </si>
  <si>
    <t>Cantidad</t>
  </si>
  <si>
    <t>Estado de la materia</t>
  </si>
  <si>
    <t>Uso del Convertidor de Combustible:</t>
  </si>
  <si>
    <t>1. En la celda A9, seleccione el combustible utilizado, buscándolo o desplazándose por la lista mostrada y haciendo clic en la celda.</t>
  </si>
  <si>
    <t>Transfiera los resultados totales calculados a la celda de reporte B3 "Consumo de Energía por Combustible"</t>
  </si>
  <si>
    <t>Consumo total de energía [MWh]</t>
  </si>
  <si>
    <t>Consumo total de energía renovable [MWh]</t>
  </si>
  <si>
    <t>Consumo de energías no renovables [MWh]</t>
  </si>
  <si>
    <t xml:space="preserve">Energía [MWh] = Masa [t] * PCI [MWh/t] 
</t>
  </si>
  <si>
    <t>Energía [MWh] = Masa [t] * PCI [MWh/t]</t>
  </si>
  <si>
    <t>Desde</t>
  </si>
  <si>
    <t>Unidad de medida del conversor de masa</t>
  </si>
  <si>
    <t>Unidad de medida del Convertidor de Volumen</t>
  </si>
  <si>
    <t>Unidad de medida del consumo de energía por hora</t>
  </si>
  <si>
    <t xml:space="preserve">Unidad de medida del Convertidor de Densidad
</t>
  </si>
  <si>
    <t>Uso del Convertidor de Unidad de Medida</t>
  </si>
  <si>
    <t>Pasos a seguir para la tabla de Masa:</t>
  </si>
  <si>
    <t>En la celda B5 de la tabla relacionada con la Unidad de medida del Convertidor de Masa, debe insertarse la Unidad de medida a convertir.</t>
  </si>
  <si>
    <t>Luego, en la celda B6 se puede insertar la cantidad de masa.</t>
  </si>
  <si>
    <t>Finalmente, en la celda D5 debe estar la unidad de medida de interés.</t>
  </si>
  <si>
    <t>El resultado de la conversión se mostrará en la celda D6.</t>
  </si>
  <si>
    <t>Los pasos a seguir para las otras tablas (Volumen, Consumo de Energía, Densidad y NCV) son los mismos que para la tabla de Masa.</t>
  </si>
  <si>
    <t>▪ Unidad de medida del Convertidor de Masa:</t>
  </si>
  <si>
    <t>▪ Unidad de medida del Convertidor de Volumen:</t>
  </si>
  <si>
    <t>▪ Unidad de medida del Convertidor de Energía:</t>
  </si>
  <si>
    <t>▪ Unidad de medida del Convertidor de Densidad:</t>
  </si>
  <si>
    <t>▪ Unidad de medida del convertidor NCV:</t>
  </si>
  <si>
    <t>URL NO VÁLIDA</t>
  </si>
  <si>
    <t>ℹ️ Combustible líquido: por favor seleccione una unidad de medida entre m³ y L</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</si>
  <si>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</si>
  <si>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ℹ️ Si aparece el mensaje INCONSISTENCIA DE VALOR a la derecha, por favor asegúrese de que la fecha de finalización del período informado sea posterior a la fecha de inicio del período informado.</t>
  </si>
  <si>
    <t>ℹ️ Las listas pueden ampliarse usando el pequeño botón [+] a la izquierda. Si el número de filas no es suficiente, se pueden añadir haciendo clic derecho en la segunda fila y seleccionando "Insertar fila".</t>
  </si>
  <si>
    <t>ℹ️ Cuando se elige "otra" como forma jurídica de la empresa, por favor rellene la fila de abajo</t>
  </si>
  <si>
    <t>ℹ️ Por favor, tenga cuidado de separar cada número de calle y número de casa usando el símbolo de barra "/" y no la coma ",".</t>
  </si>
  <si>
    <t>ℹ️ Tenga en cuenta que la fórmula presente en esta celda puede ser sobrescrita en caso de que la empresa quiera proporcionar directamente el valor.</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</si>
  <si>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</si>
  <si>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ℹ️ Si se muestra una validación relacionada con la inconsistencia de valores, seleccione un ID de sitio diferente a uno de los seleccionados previamente.</t>
  </si>
  <si>
    <t>ℹ️ Por favor, asegúrese de que el número total de empleados sea el mismo que el proporcionado en la celda E55 de la hoja "Información General"</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</si>
  <si>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</si>
  <si>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0. Proporcione la información que es obligatoria para generar el informe VSME y XBRL.</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</si>
  <si>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</si>
  <si>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</si>
  <si>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6. El empresario también podrá subir el informe a repositorios públicos o a una página web.</t>
  </si>
  <si>
    <t>· C2 – Descripción de las prácticas, políticas e iniciativas futuras para la transición hacia una economía más sostenible</t>
  </si>
  <si>
    <t>ℹ️ Por favor, seleccione un código NACE en lugar de una categoría, de lo contrario aparecerá un mensaje de ERROR.</t>
  </si>
  <si>
    <t>ℹ️ Por favor seleccione un Tipo de residuo (Peligroso o No Peligroso) en lugar de una categoría, de lo contrario aparecerá un mensaje de ERROR.</t>
  </si>
  <si>
    <t>CORRECTO</t>
  </si>
  <si>
    <t>2. En la celda B9 seleccione la Unidad de medida utilizada</t>
  </si>
  <si>
    <t>3. En la celda C9 seleccione la Cantidad de combustible utilizado</t>
  </si>
  <si>
    <t>4. En la celda D9 se muestra el estado de la materia para el combustible seleccionado.</t>
  </si>
  <si>
    <t>5. En la celda E9 se muestra el carácter renovable típico para el combustible seleccionado.</t>
  </si>
  <si>
    <t>6. En la celda F9 se muestra la Energía producida en Mega Vatios hora por la Cantidad de Combustible especificada</t>
  </si>
  <si>
    <t>7. En la celda A28 se muestra la Energía Total en Mega Vatios hora</t>
  </si>
  <si>
    <t>8. En la celda A31 se muestra la Energía Renovable Total en Megavatios hora</t>
  </si>
  <si>
    <t>9. En la celda B31 se muestra la Energía No Renovable Total en Megavatios hora</t>
  </si>
  <si>
    <t>10. Más notas se pueden encontrar a continuación</t>
  </si>
  <si>
    <t>Las empresas quedan excluidas de los índices de referencia de la UE armonizados con el Acuerdo de París si derivan:</t>
  </si>
  <si>
    <t>Ingresos de determinadas actividades</t>
  </si>
  <si>
    <t>Spanish - Reviewed translation by Spanish Standard Setter</t>
  </si>
  <si>
    <t>Įmonės pavadinimas</t>
  </si>
  <si>
    <t>Įmonės identifikatorius</t>
  </si>
  <si>
    <t>Įmonės schema</t>
  </si>
  <si>
    <t>Dešimtainis skirtukas</t>
  </si>
  <si>
    <t>Ataskaitos laikotarpis</t>
  </si>
  <si>
    <t>Ataskaita sugeneruota</t>
  </si>
  <si>
    <t>Visi atskleidimai susiję su aukščiau nurodytu ataskaitiniu laikotarpiu, jei nėra nurodyta kitaip.</t>
  </si>
  <si>
    <t>Ataskaitos laikotarpis:</t>
  </si>
  <si>
    <t>Publikavimo data:</t>
  </si>
  <si>
    <t>Taksonomijos pradinė nuoroda</t>
  </si>
  <si>
    <t>Pasirinkite šablono rodymo kalbą:</t>
  </si>
  <si>
    <t>Ataskaitos antraštė</t>
  </si>
  <si>
    <t>VSME Skaitmeninis šablonas</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</si>
  <si>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NACE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</si>
  <si>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Kaip tai naudoti:</t>
  </si>
  <si>
    <t>0. Pateikite informaciją, kuri yra privaloma norint sukurti VSME ir XBRL ataskaitą.</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</si>
  <si>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</si>
  <si>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2. Daugiau informacijos apie faktinius atskleidimo reikalavimus rasite VSME standarte ir su kiekvienu langeliu susietose gairėse. Papildomi arba įmonei specifiniai atskleidimai gali būti pateikiami kiekvieno darbalapio pabaigoje esančiuose teksto laukeliuose.</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</si>
  <si>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</si>
  <si>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4. Patvirtinkite įvestus duomenis, patikrindami patikros būseną.
Ataskaita bus laikoma neišsamia arba klaidinga, jei patikra nepavyks, o tai gali lemti netinkamą XBRL ataskaitą.</t>
  </si>
  <si>
    <t>6. Įmonė taip pat gali įkelti ataskaitą į viešai prieinamas saugyklas arba interneto svetainę.</t>
  </si>
  <si>
    <t xml:space="preserve">Nurodo, kad atskleidimas yra iš VSME bendrųjų principų. 
</t>
  </si>
  <si>
    <t>Bazinis modulis</t>
  </si>
  <si>
    <t>Nurodo, kad atskleidimas pateiktas pagal VSME pagrindinį modulį.</t>
  </si>
  <si>
    <t>Išsamusis modulis</t>
  </si>
  <si>
    <t>Nurodo, kad atskleidimas pateikiamas pagal VSME Išsamųjį modulį.</t>
  </si>
  <si>
    <t>Langelyje automatiškai apskaičiuojama langelio vertė, todėl duomenų įvedimas nėra reikalingas.</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</si>
  <si>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</si>
  <si>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Nurodo, kad duomenų įvestis nereikalinga, nebent pačiame atskleidime pasirenkamos tam tikros loginės sąlygos. Pasirinkus vieną iš jų, šis langelis taps baltas.</t>
  </si>
  <si>
    <t xml:space="preserve">Patikrinimas TRŪKSTAMA REIKŠMĖ/KLAIDA/REIKŠMIŲ NESUTAPIMAS/NETEISINGAS URL </t>
  </si>
  <si>
    <t>Nurodo, kad duomenų įvedimas yra neteisingas (neatitinka formato reikalavimų) arba trūksta tam tikros informacijos, būtinos tinkamai pateikti atskleidimą.</t>
  </si>
  <si>
    <t>Nurodo, kad duomenų įvedimas yra teisingas ir įmonė gali toliau tęsti atskleidimą.</t>
  </si>
  <si>
    <t xml:space="preserve">Sąrašus galima išplėsti paspaudžiant kairėje esantį pliuso žymeklį [+]. Jei eilučių skaičius nepakankamas, papildomos eilutės gali būti įterpiamos dešiniuoju pelės mygtuku paspaudus antrą eilutę ir pasirinkus „Įterpti eilutę“.
</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</si>
  <si>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</si>
  <si>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 xml:space="preserve">Reprodukcijos ir naudojimo teisės yra griežtai ribotos. Dėl išsamesnės informacijos kreipkitės el. paštu efragsecretariat@efrag.org
</t>
  </si>
  <si>
    <t>Bendras patikrinimo statusas</t>
  </si>
  <si>
    <t>Turinio grupavimas atitinka šablono struktūrą</t>
  </si>
  <si>
    <t>Bendroji informacija</t>
  </si>
  <si>
    <t>· Informacija apie ataskaitą, reikalinga XBRL</t>
  </si>
  <si>
    <t>Parengimo pagrindas ir kita įmonės bendroji infromacija</t>
  </si>
  <si>
    <t>Dukterinių įmonių sąrašas</t>
  </si>
  <si>
    <t>Tvarumo sertifikatų ir (ar) ženklų atskleidimas</t>
  </si>
  <si>
    <t>Vietų (objektų) sąrašas</t>
  </si>
  <si>
    <t>Praktikos, politikos ir būsimos iniciatyvos pereinant prie tvaresnės ekonomikos</t>
  </si>
  <si>
    <t>Kooperatyvams būdingi atskleidimai</t>
  </si>
  <si>
    <t>Aplinkosaugos atskleidimai</t>
  </si>
  <si>
    <t>· B3 – Energija ir šiltnamio efektą sukeliančios dujos</t>
  </si>
  <si>
    <t>Energijos suvartojimo pasiskirstymas (MWh)</t>
  </si>
  <si>
    <t>Įvertintas šiltnamio efektą sukeliančių dujų kiekis, atsižvelgiant į ŠESD protokolą, 2004 m. redakcija (t CO2e)</t>
  </si>
  <si>
    <t>Šiltnamio efektą sukeliančių dujų emisijų intensyvumas pagal apyvartą</t>
  </si>
  <si>
    <t>Objektai biologinei įvairovei jautriose teritorijose</t>
  </si>
  <si>
    <t>Biologinė įvairovė – žemės sunaudojimas</t>
  </si>
  <si>
    <t>Vandens išgavimas</t>
  </si>
  <si>
    <t>· B7 - Išteklių naudojimas, žiedinė ekonomika ir atliekų tvarkymas</t>
  </si>
  <si>
    <t>Metinis reikšmingų naudojamų medžiagų sunaudojimas</t>
  </si>
  <si>
    <t>Socialinių rodiklių atskleidimai</t>
  </si>
  <si>
    <t>Sutarties tipas</t>
  </si>
  <si>
    <t>Šalis, kurioje dirbama</t>
  </si>
  <si>
    <t>Valdysenos rodiklių atskleidimai</t>
  </si>
  <si>
    <t>IŠSAMUSIS MODULIS</t>
  </si>
  <si>
    <t>ŠESD mažinimo tikslai (tCO2e)</t>
  </si>
  <si>
    <t xml:space="preserve">Ataskaita apie pagrindinių priemonių sąrašą, kurias įmonė siekia įgyvendinti norėdama pasiekti savo tikslus
</t>
  </si>
  <si>
    <t>Perėjimo planas įmonėms, veikiančioms sektoriuose, kurių poveikis klimatui yra didelis</t>
  </si>
  <si>
    <t>· C5 - Papildomi (bendrieji) darbuotojų rodikliai</t>
  </si>
  <si>
    <t>Neįtraukimai į ES lyginamuosius etalonus</t>
  </si>
  <si>
    <t>Papildomi atskleidimai</t>
  </si>
  <si>
    <t xml:space="preserve">· Ataskaitinio laikotarpio bet kokios kitos bendros ir/ar įmonės specifinės informacijos atskleidimas
</t>
  </si>
  <si>
    <t>· Bet kokie kit aplinkosauginiai ir/ar įmonės specifiniai aplinkosauginiai atskleidimai</t>
  </si>
  <si>
    <t>· Bet kokie kite socialiniai ir arba įmonei būdingi socialiniai atskleidimai</t>
  </si>
  <si>
    <t>· Kiti valdysenos ir/ar įmonės specifiniai valdysenos atskleidimai</t>
  </si>
  <si>
    <t>Gairių pastaipos nuoroda</t>
  </si>
  <si>
    <t>Vietoje</t>
  </si>
  <si>
    <t>[Privaloma visada pateikti]</t>
  </si>
  <si>
    <t>[Jei taikytina]</t>
  </si>
  <si>
    <t>[Gali būti pateikiama (neprivaloma)]</t>
  </si>
  <si>
    <t>Gali būti pateikiama (neprivaloma)</t>
  </si>
  <si>
    <t>[Privaloma visada pateikti + jei taikytina]</t>
  </si>
  <si>
    <t>[Jei taikytina, susieta su B2]</t>
  </si>
  <si>
    <t>kiekis/suma</t>
  </si>
  <si>
    <t>Informacija, reikalinga ataskaitai XBRL formatu</t>
  </si>
  <si>
    <t>Ataskaitą teikiančios įmonės pavadinimas</t>
  </si>
  <si>
    <t>Ataskaitą teikiančios įmonės identifikatorius (pasirinkti ir nurodyti dešinėje)</t>
  </si>
  <si>
    <t>Ataskaitoje naudojama valiuta</t>
  </si>
  <si>
    <t>Ataskaitiniai metai, prasidedantys (metai)</t>
  </si>
  <si>
    <t>Ataskaitiniai metai, prasidedantys (mėnuo)</t>
  </si>
  <si>
    <t>Ataskaitiniai metai, prasidedantys (diena)</t>
  </si>
  <si>
    <t>Ataskaitinio laikotarpio pradžia (yyyy-mm-dd)</t>
  </si>
  <si>
    <t>Ataskaitiniai metai, besibaigiantys (metai)</t>
  </si>
  <si>
    <t>Ataskaitiniai metai, besibaigiantys (mėnuo)</t>
  </si>
  <si>
    <t>Ataskaitiniai metai, besibaigiantys (diena)</t>
  </si>
  <si>
    <t>Ataskaitinio laikotarpio pabaiga (yyyy-mm-dd)</t>
  </si>
  <si>
    <t>Ši ataskaita įtraukia tuos ankstesnio ataskaitinio laikotarpio atskleidimus, kurie liko nepakitę</t>
  </si>
  <si>
    <t>Atskleidimų, dėl kurių nepateikta jokių pakeitimų, palyginti su ankstesnio laikotarpio ataskaita, sąrašas</t>
  </si>
  <si>
    <t>Nuoroda į ankstesnę ataskaitą, kurioje yra nepakitę atskleidimai</t>
  </si>
  <si>
    <t>B1 – Ataskaitos rengimo pagrindas ir kita įmonės bendroji informacija</t>
  </si>
  <si>
    <t>Ataskaitos rengimo pagrindas (tik Bazinis modulis arba Bazinis ir Išsamusis modulis)</t>
  </si>
  <si>
    <t>Nepateiktų atskleidimų, laikomų konfidencialia ar jautria informacija, sąrašas</t>
  </si>
  <si>
    <t>Atskaitomybės pagrindas (konsoliduota ar individuali)</t>
  </si>
  <si>
    <t>Įmonės teisinė forma</t>
  </si>
  <si>
    <t>NACE sektoriaus klasifikacijos kodas(-ai)</t>
  </si>
  <si>
    <t>Balanso dydis (turtas iš viso), matavimo vienetai</t>
  </si>
  <si>
    <t>Apyvarta (matavimo vienetai)</t>
  </si>
  <si>
    <t>Darbuotojų skaičiavimo metodika (skaičiuojama ataskaitinio laikotarpio pabaigoje ar išvedamas vidurkis per ataskaitinį laikotarpį)</t>
  </si>
  <si>
    <t>Darbuotojų skaičiavimo metodika (faktinis darbuotojų skaičius arba viso etato ekvivalentas)</t>
  </si>
  <si>
    <t>Šalis, kurioje vykdoma pagrindinė veikla ir reikšmingo turto buvimo vieta(-os)</t>
  </si>
  <si>
    <t>B1 - Dukterinių įmonių sąrašas</t>
  </si>
  <si>
    <t>Pavadinimas</t>
  </si>
  <si>
    <t>B1 - Su tvarumu susijusių sertifikatų ar ženklų atskleidimas</t>
  </si>
  <si>
    <t>Ar įmonė gavo kokių nors su tvarumu susijusių sertifikatų ar ženklų?</t>
  </si>
  <si>
    <t>Jeigu įmonė gavo kokį nors su tvarumu susijusį sertifikatą arba ženklą, ji turi pateikti trumpą jų aprašymą (įskaitant, kur tai aktualu, sertifikato arba ženklo išdavėjų, datą ir vertinimo balą).</t>
  </si>
  <si>
    <t>B1 - Objektų sąrašas</t>
  </si>
  <si>
    <t xml:space="preserve">Miestas
</t>
  </si>
  <si>
    <t>Šalis</t>
  </si>
  <si>
    <t>GPS Koordinatės (geolokacija)</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</si>
  <si>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</si>
  <si>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B2 - Praktikos, politikos priemonės ir būsimos iniciatyvos, skirtos perėjimui prie tvaresnės ekonomikos</t>
  </si>
  <si>
    <t>Ar įmonė yra įdiegusi konkrečias praktikas, politikas arba būsimas iniciatyvas siekiant pereiti prie tvaresnės ekonomikos?</t>
  </si>
  <si>
    <t xml:space="preserve">Tvarumo klausimai, kuriuos sprendžia praktikos politika ir (arba) būsimos iniciatyvos, kurias įmonė įgyvendino
</t>
  </si>
  <si>
    <t>Įmonė turi šiam tikslui skirtą praktikos politiką ir (arba) būsimą iniciatyvą, kuri yra viešai prieinama</t>
  </si>
  <si>
    <t>Įmonė yra nustačiusi tikslą, susijusį su šia politika</t>
  </si>
  <si>
    <t>Sava darbo jėga</t>
  </si>
  <si>
    <t>Paveiktos bendruomenės</t>
  </si>
  <si>
    <t>Verslo etika</t>
  </si>
  <si>
    <t>Aktyvus darbuotojų, naudotojų ar kitų suinteresuotųjų šalių ar bendruomenių dalyvavimas valdymo procesuose</t>
  </si>
  <si>
    <t>Finansinės investicijos į socialinės ekonomikos subjektų kapitalą ar turtą, nurodytą 2023 m. rugsėjo 29 d. Tarybos rekomendacijoje (išskyrus dovanas ir įnašus)</t>
  </si>
  <si>
    <t>Bet kokie pelno paskirstymo apribojimai, susiję su viešuoju interesu arba su veikla, kuria teikiamos bendrojo ekonominio intereso paslaugos (SGEI)</t>
  </si>
  <si>
    <t>C2 - Perėjimo prie tvaresnės ekonomikos praktikos, politikos ir būsimų iniciatyvų aprašymas</t>
  </si>
  <si>
    <t>Aprašymas apie praktikos politiką ir/ar būsimą iniciatyvą siekiant tvaresnės ateities (jei praktikos politika ar būsimą iniciatyvą apima tiekėjai ar klientai, įmonė privalo apie tai nurodyti)</t>
  </si>
  <si>
    <t>Aukščiausias darbuotojų hierarchijos lygmuo, atsakingas už politikų įgyvendinimą (jei tai yra įmonės nustatyta).</t>
  </si>
  <si>
    <t>C1 – Strategija: verslo modelis ir su tvarumu susijusios iniciatyvos</t>
  </si>
  <si>
    <t>Siūlomų reikšmingų produktų ir (ar) paslaugų grupių aprašymas</t>
  </si>
  <si>
    <t xml:space="preserve">Reikšmingų rinkų, kuriose įmonė veikia (pvz., B2B, didmeninė prekyba, mažmeninė prekyba, šalys), aprašymas
</t>
  </si>
  <si>
    <t>Pagrindinių verslo santykių aprašymas (pvz., pagrindiniai tiekėjai, klientai, paskirstymo kanalai)</t>
  </si>
  <si>
    <t>Ar strategijoje yra pagrindinių elementų, susijusių su tvarumo klausimais arba darančių jiems įtaką?</t>
  </si>
  <si>
    <t>Strategijos pagrindinių elementų, susijusių su tvarumu arba darančių jam įtaką, aprašymas</t>
  </si>
  <si>
    <t>Bet kokios kitos bendrosios ir (ar) įmonei specifinės informacijos apie ataskaitinį laikotarpį atskleidimas</t>
  </si>
  <si>
    <t>B3 – Bendras energijos suvartojimas (MWh)</t>
  </si>
  <si>
    <t>B3 - Energijos suvartojimo (MWh) išskaidymas</t>
  </si>
  <si>
    <t>Ar įmonė gavo reikalingą informaciją energijos suvartojimo išskaidymui pateikti?</t>
  </si>
  <si>
    <t xml:space="preserve">Atsinaujinanti energija </t>
  </si>
  <si>
    <t>Neatsinaujinanti energija</t>
  </si>
  <si>
    <t>Bendras atsinaujinančių ir neatsinaujinančių energijos šaltinių energijos kiekis</t>
  </si>
  <si>
    <t>Elektra (kaip nurodyta komunalinių paslaugų sąskaitose)</t>
  </si>
  <si>
    <t>Įmonės pasigaminta elektra</t>
  </si>
  <si>
    <t>Kuras (žr. „Kuro konverterį / konvertavimo skaičiuoklę“ darbalapyje „Kuras“)</t>
  </si>
  <si>
    <t>B3 – Apskaičiuotos šiltnamio efektą sukeliančių dujų emisijos, atsižvelgiant į 2004 m. ŠESD protokolo versiją (tCO2e)</t>
  </si>
  <si>
    <t>C3 – Šiltnamio efektą sukeliančių dujų mažinimo tikslai (tCO2e)</t>
  </si>
  <si>
    <t>Ar įmonė nusistatė ŠESD mažinimo tikslus?</t>
  </si>
  <si>
    <t>Baziniai (atskaitos) metai</t>
  </si>
  <si>
    <t>Procentinis sumažėjimas nuo atskaitos metų lygio</t>
  </si>
  <si>
    <t>Bendrosios pirmos apimties  ŠESD emisijos</t>
  </si>
  <si>
    <t>Bendrosios antros apimties ŠESD emisijos (vietos metodas)</t>
  </si>
  <si>
    <t>Bendrosios antros apimties ŠESD emisijos (rinkos metodas)</t>
  </si>
  <si>
    <t>Bendrosios pirmos apimties ir antros apimties (vietos metodas) ŠESD emisijos</t>
  </si>
  <si>
    <t>Ar įmonė atskleidžia specifinę informaciją apie 3 apimties emisijas (tCO2e)?</t>
  </si>
  <si>
    <t>1. Pirktos prekės ir paslaugos</t>
  </si>
  <si>
    <t>2. Kapitalinės prekės</t>
  </si>
  <si>
    <t>3. Su kuru ir energija susijusi veikla (neįtraukta į pirmą ar antrą ŠESD emisijų apimtį)</t>
  </si>
  <si>
    <t>4. Priešsrovinis transportavimas ir paskirstymas</t>
  </si>
  <si>
    <t>5. Atliekos, susidarančios vykdant veiklą</t>
  </si>
  <si>
    <t>7. Darbuotojų kelionės į ir iš darbo</t>
  </si>
  <si>
    <t>8.  Priešsrovinis išnuomotas turtas</t>
  </si>
  <si>
    <t>9. Pasrovinis transportavimas ir paskirstymas</t>
  </si>
  <si>
    <t>10. Parduotų produktų apdorojimas</t>
  </si>
  <si>
    <t>11. Parduotų produktų naudojimas</t>
  </si>
  <si>
    <t>12. Parduotų produktų tvarkymas gyvavimo ciklo pabaigoje</t>
  </si>
  <si>
    <t>13. Pasrovinis išnuomotas turtas</t>
  </si>
  <si>
    <t>Investicijos</t>
  </si>
  <si>
    <t>Bedrosiosios trečios apimties (ŠESD) emisijos</t>
  </si>
  <si>
    <t>Bendrosios pirmos, antros (vietos metodu) ir trečios apimties ŠESD emisijos</t>
  </si>
  <si>
    <t>Bendrosios pirmos, antros (rinkos metodu) ir trečios apimties ŠESD emisijos</t>
  </si>
  <si>
    <t>C3 – Pagrindinių veiksmų, kuriuos įmonė numato įgyvendinti siekdama savo tikslų, sąrašo atskleidimas</t>
  </si>
  <si>
    <t>C3 – Perėjimo planas įmonėms, veikiančioms didelio poveikio klimatui sektoriuose</t>
  </si>
  <si>
    <t>Ar įmonė veikia didelio poveikio klimatui sektoriuose?</t>
  </si>
  <si>
    <t>Perėjimo plano įgyvendinimo statusas klimato kaitos švelninimo atžvilgiu</t>
  </si>
  <si>
    <t xml:space="preserve">Kklimato kaitos sušvelninimo pereinamojo laikotarpio plano aprašymas, įskaitant paaiškinimą, kaip jis prisideda prie ŠESD emisijų mažinimo
</t>
  </si>
  <si>
    <t>Numatoma pereinamojo plano patvirtinimo data įmonei, kuri dar nėra pasitvirtinusi pereinamojo plano</t>
  </si>
  <si>
    <t>B3 - Šiltnamio efektą sukeliančių dujų (ŠESD) intensyvumas pagal apyvartą (tCO2e)</t>
  </si>
  <si>
    <t>Pirmos ir antros apimties (vietos metodu) ŠESD emisijų intensyvumas</t>
  </si>
  <si>
    <t>Pirmos ir antros apimties (rinkos metodu) ŠESD emisijų intensyvumas</t>
  </si>
  <si>
    <t>Bendras pirmos, antros (vietos metodu) ir trečios apimties ŠESD emisijų intensyvumas</t>
  </si>
  <si>
    <t>Bendras pirmos, antros (rinkos metodu) ir trečios apimties ŠESD emisijų intensyvumas</t>
  </si>
  <si>
    <t>Ar ūkio subjektas jau pagal įstatymą ar kitus nacionalinius reglamentus privalo pranešti kompetentingoms institucijoms apie teršalų išmetimą ar jau savanoriškai apie juos praneša pagal Aplinkos valdysenos sistemą?</t>
  </si>
  <si>
    <t>Prašome nurodyti aktualią nuorodą (URL) į šios informacijos skelbimo vietą</t>
  </si>
  <si>
    <t>Pasirinkite matavimo vienetą, kuriuo pateiksite kiekį (t. y. kg arba t).</t>
  </si>
  <si>
    <t>Išmetimas į orą</t>
  </si>
  <si>
    <t>Išmetimas į vandenį</t>
  </si>
  <si>
    <t>Išmetimas į dirvožemį</t>
  </si>
  <si>
    <t>B5 - Veiklos objektai biologinei įvairovei jautriose teritorijose</t>
  </si>
  <si>
    <t>Ar įmonė turi veiklos objektų, kurie yra biloginei įvairovei jautriose teritorijose arba netoli jų?</t>
  </si>
  <si>
    <t>Pasirinkite ploto matavimo vienetą (t. y. ha arba m²):</t>
  </si>
  <si>
    <t>Susijusios vietos (objekto) ID (pasirinkite ID iš B1 nurodytų vietų)</t>
  </si>
  <si>
    <t>Objekto buvimas biologinės įvairovės teritorijoje ar šalia jos – automatiškai perkelta iš B1</t>
  </si>
  <si>
    <t>Plotas (ha arba m², pagal aukščiau pasirinktą vienetą)</t>
  </si>
  <si>
    <t>Objektas yra biologinei įvairovei jautrioje teritorijoje</t>
  </si>
  <si>
    <t>Objektas yra šalia biologinei įvairovei jautrios teritorijos</t>
  </si>
  <si>
    <t>Plotas</t>
  </si>
  <si>
    <t>Bendras nepralaidžios dangos plotas</t>
  </si>
  <si>
    <t>Bendras gamtai palankių teritorijų plotas objekto teritorijoje</t>
  </si>
  <si>
    <t>Bendras gamtai palankių teritorijų plotas ne objekto teritorijoje</t>
  </si>
  <si>
    <t>B6 – Vandens išgavimas</t>
  </si>
  <si>
    <t>Bendras vandens kiekis, paimtas iš visų vietovių (kubiniais metrais m³)</t>
  </si>
  <si>
    <t>Imamo vandens kiekis vietose, esančiose didelio vandens stygiaus zonose (kubiniais metrais m³)</t>
  </si>
  <si>
    <t>B6 – Vandens suvartojimas</t>
  </si>
  <si>
    <t>Ar įmonė turi gamybos procesus, kurie reikšmingai sunaudoja vandenį (pvz., terminės energijos procesai, tokie kaip džiovinimas ar elektros energijos gamyba, prekių gamyba, žemės ūkio laistymas ir pan.)?</t>
  </si>
  <si>
    <t>Vandens išleidimas iš įmonės gamybos procesų (m³)</t>
  </si>
  <si>
    <t xml:space="preserve">Aprašymas, kaip taikomi šie principai
</t>
  </si>
  <si>
    <t>B7 - Išmetamųjų atliekų kiekis</t>
  </si>
  <si>
    <t>Atliekos, perduotos utilizavimui</t>
  </si>
  <si>
    <t>Perdirbtų, pakartotinai panaudotų ir šalinimui nukreiptų atliekų kiekis</t>
  </si>
  <si>
    <t>Bendras susidariusių pavojingųjų atliekų kiekis (masė)</t>
  </si>
  <si>
    <t>Bendras nepavojingų atliekų kiekis (masė)</t>
  </si>
  <si>
    <t>Bendras atliekų kiekis (masė)</t>
  </si>
  <si>
    <t>Bendras pavojingų atliekų susidarymo kiekis (tūris)</t>
  </si>
  <si>
    <t>Bendras nepavojingų atliekų kiekis (tūris)</t>
  </si>
  <si>
    <t>B7 – Sunaudotų reikšmingų medžiagų kiekis</t>
  </si>
  <si>
    <t>Ar įmonė veikia sektoriuje, kuriame naudojami didelės apimties medžiagų srautai (pvz., gamyba, statyba, pakuočių sektorius ir kt.)?</t>
  </si>
  <si>
    <t>Reikšmingos medžiagos pavadinimas</t>
  </si>
  <si>
    <t>Masė / Tūris</t>
  </si>
  <si>
    <t>Bendras metinis reikšmingų naudojamų medžiagų masės srautas (masė, kg)</t>
  </si>
  <si>
    <t>Bendras metinis reikšmingų naudojamų medžiagų srautas (tūris, m³)</t>
  </si>
  <si>
    <t>C4 - Klimato rizikos</t>
  </si>
  <si>
    <t>Ar įmonė nustatė su klimatu susijusias ir pereinamojo laikotarpio rizikas?</t>
  </si>
  <si>
    <t>Klimato ir pereinamojo laikotarpio rizikų aprašymai</t>
  </si>
  <si>
    <t>Atskleidimas, kaip įmonė įvertino savo turto, veiklos ir vertės grandinės poveikį bei jautrumą šioms klimato rizikoms ir pereinamojo laikotarpio įvykiams</t>
  </si>
  <si>
    <t>Nustatytų su klimatu susijusių ir pereinamojo laikotarpio rizikų laiko horizontai</t>
  </si>
  <si>
    <t>Atskleidimas, ar įmonė ėmėsi klimato kaitos prisitaikymo veiksmų dėl bet kokių su klimatu susijusių ir pereinamojo laikotarpio rizikų</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</si>
  <si>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</si>
  <si>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Atskleidimas apie bet kokius kitus aplinkosauginius ir/ar įmonei būdingus aplinkos atskleidimus</t>
  </si>
  <si>
    <t>Darbuotojų skaičiavimo metodika žemiau pateikiamoms ataskaitoms (darbuotojų skaičius arba pilno darbo laiko ekvivalentas, susietas su B1)</t>
  </si>
  <si>
    <t>Darbuotojų skaičiavimo metodika toliau pateikiamoms atskleidimo dalims (ataskaitinio laikotarpio pabaigoje arba kaip vidurkis per ataskaitinį laikotarpį, susietą su B1)</t>
  </si>
  <si>
    <t>B8 –Sava darbo jėga – Bendrieji rodikliai - Sutarties rūšis</t>
  </si>
  <si>
    <t>Terminuota sutartis</t>
  </si>
  <si>
    <t>Bendras darbuotojų skaičius (susijęs su B1)</t>
  </si>
  <si>
    <t>B8 – Sava darbo jėga – Bendrieji rodikliai – Lytis</t>
  </si>
  <si>
    <t>Vyrai</t>
  </si>
  <si>
    <t>Moterys</t>
  </si>
  <si>
    <t>Kita</t>
  </si>
  <si>
    <t>Nenurodyta</t>
  </si>
  <si>
    <t>B8 – Sava darbo jėga – Bendrieji rodikliai - Darbo sutarties šalis</t>
  </si>
  <si>
    <t>Šalis, kurioje sudaryta darbo sutartis</t>
  </si>
  <si>
    <t>B8 – Sava darbo jėga– Bendrieji rodikliai – Darbuotojų kaita</t>
  </si>
  <si>
    <t>Įmonę per ataskaitinį laikotarpį palikusių darbuotojų skaičius</t>
  </si>
  <si>
    <t>B9 – Sava darbo jėga – Sveikata ir sauga</t>
  </si>
  <si>
    <t>Registruotinų su darbu susijusių nelaimingų atsitikimų skaičius ataskaitiniame laikotarpyje</t>
  </si>
  <si>
    <t>Dirbtų valandų skaičius vienam visą darbo laiką dirbančiam darbuotojui ataskaitiniame laikotarpyje</t>
  </si>
  <si>
    <t>Visų darbuotojų per metus išdirbtų valandų bendras skaičius (ataskaitiniu laikotarpiu)</t>
  </si>
  <si>
    <t>Registruotinų su darbu susijusių nelaimingų atsitikimų dažnis ataskaitiniu laikotarpiu</t>
  </si>
  <si>
    <t>B10 – Sava darbo jėga – Atlyginimas, kolektyvinės derybos ir mokymai</t>
  </si>
  <si>
    <t>Darbuotojai gauna užmokestį, kuris yra lygus arba didesnis už taikomą minimalųjį darbo užmokestį, nustatytą tiesiogiai pagal nacionalinį minimaliojo darbo užmokesčio įstatymą arba per kolektyvinę sutartį.</t>
  </si>
  <si>
    <t>Vidutinis darbuotojų vyrų valandinis užmokestis neatskaičius mokesčių</t>
  </si>
  <si>
    <t>Vidutinis darbuotojų moterų valandinis užmokestis neatskaičius mokesčių</t>
  </si>
  <si>
    <t>Moterų ir vyrų darbuotojų atlygio skirtumas procentais [%]</t>
  </si>
  <si>
    <t>Vidutinis metinių mokymų valandų skaičius vienam darbuotojui</t>
  </si>
  <si>
    <t>C5 - Papildomi (bendrieji) darbo jėgos rodikliai</t>
  </si>
  <si>
    <t>Vyrų darbuotojų skaičius vadovaujančiose pareigose</t>
  </si>
  <si>
    <t>Morerų darbuotojų skaičius vadovaujančiose pareigose</t>
  </si>
  <si>
    <t>Vadovų/vadovaujančias pareigas einančių moterų ir vyrų santykis ataskaitiniu laikotarpiu</t>
  </si>
  <si>
    <t>Iš viso savarankiškai dirbančių (ne darbuotojų), dirbančių tik šiai įmonei, skaičius</t>
  </si>
  <si>
    <t>Iš viso darbuotojų, dirbančių per laikinojo įdarbinimo agentūras, skaičius</t>
  </si>
  <si>
    <t>C6 – Papildoma savos darbo jėgos informacija – Žmogaus teisių politika ir procesai</t>
  </si>
  <si>
    <t>Ar įmonė turi savos darbo jėgos elgesio kodeksą arba žmogaus teisių politiką?</t>
  </si>
  <si>
    <t>Jei taip, ar tai apima:</t>
  </si>
  <si>
    <t>· prekyba žmonėmis</t>
  </si>
  <si>
    <t>· nelaimingų atsitikimų prevencija</t>
  </si>
  <si>
    <t>Nurodykite kitas temas / sritis, kurias apima elgesio kodeksas arba žmogaus teisių politika.</t>
  </si>
  <si>
    <t>Ar yra įdiegtas skundų nagrinėjimo mechanizmas darbuotojams?</t>
  </si>
  <si>
    <t>C7 – Sunkūs neigiami žmogaus teisių pažeidimų atvejai</t>
  </si>
  <si>
    <t>Ar įmonėje yra įvykę incidentų savo darbuotojų tarpe?</t>
  </si>
  <si>
    <t>Jei taip, ar incidentai susiję su:</t>
  </si>
  <si>
    <t>Nurodykite kitas žmogaus teises, susijusias su įvykusiais incidentais.</t>
  </si>
  <si>
    <t>Įvykusiems incidentams spręsti atliktų veiksmų aprašymas</t>
  </si>
  <si>
    <t>Ar įmonei žinoma apie kokius nors įvykusius incidentus, susijusius su vertės grandinės darbuotojais, paveiktomis bendruomenėmis, vartotojais ir galutiniais naudotojais?</t>
  </si>
  <si>
    <t>Bet kurio įvykusio incidento, susijusio su vertės grandinės darbuotojais, paveiktomis bendruomenėmis, vartotojais ir galutiniais naudotojais, aprašymas.</t>
  </si>
  <si>
    <t>Bet kokių kitų socialinių atskleidimų ir (ar) įmonei specifinių socialinių atskleidimas.</t>
  </si>
  <si>
    <t>B11 – Nuosprendžiai ir baudos už korupciją ir kyšininkavimą</t>
  </si>
  <si>
    <t>Ar įmonė buvo apkaltinta ir nubausta ataskaitiniu laikotarpiu?</t>
  </si>
  <si>
    <t>Bendras nuobaudų skaičius už korupcijos ir kyšininkavimo įstatymų pažeidimus</t>
  </si>
  <si>
    <t>Baudų suma už korupcijos ir kyšininkavimo įstatymų pažeidimus</t>
  </si>
  <si>
    <t>C8 – Pajamos iš tam tikrų veiklų</t>
  </si>
  <si>
    <t>Ar įmonė gauna pajamas iš vienos iš žemiau išvardytų veiklų?</t>
  </si>
  <si>
    <t>Piniginė suma (Eurais)</t>
  </si>
  <si>
    <t>Pajamos, gautos iš prieštaringai vertinamų ginklų (pėstininkų minų, kasetinių sprogstamųjų užtaisų, cheminių ir biologinių ginklų).</t>
  </si>
  <si>
    <t xml:space="preserve">Pajamos, gautos iš tabako auginimo ir gamybos
</t>
  </si>
  <si>
    <t>Pajamos, gautos iš naftos</t>
  </si>
  <si>
    <t>Pajamos, gautos iš dujų</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</si>
  <si>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</si>
  <si>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Pajamos, gautos iš cheminių medžiagų gamybos</t>
  </si>
  <si>
    <t>C8 – Neįtraukimas į ES lyginamuosius etalonus</t>
  </si>
  <si>
    <t>Įmonės yra neįtraukiamos į ES Paryžiaus susitarimui pritaikytus etalonus, jei jos gauna pajamas iš:</t>
  </si>
  <si>
    <t>1 % ar daugiau savo pajamų iš akmens anglių ir lignito žvalgybos, kasybos, gavybos, paskirstymo ar perdirbimo</t>
  </si>
  <si>
    <t>Įmonės, kurios gauna 10 % ar daugiau pajamų iš naftos žvalgybos, gavybos, paskirstymo ar perdirbimo.</t>
  </si>
  <si>
    <t xml:space="preserve">Įmonės, gaunančios 50 % ar daugiau pajamų iš dujinio kuro žvalgybos, gavybos, gamybos ar paskirstymo
</t>
  </si>
  <si>
    <t>Įmonės, gaunančios 50 % ar daugiau pajamų iš elektros energijos gamybos, kurios ŠESD intensyvumas yra didesnis nei 100 g CO2 e/kWh</t>
  </si>
  <si>
    <t>Niekas iš aukščiau išvardytų</t>
  </si>
  <si>
    <t>Įmonės neįtraukiamos į jokius su Paryžiaus susitarimu suderintus ES lyginamuosius etalonus</t>
  </si>
  <si>
    <t>Ar įmonė yra įsteigusi valdymo organą?</t>
  </si>
  <si>
    <t>Kitų (įskaitant įmonei specifinių) valdymo atskleidimų pateikimas</t>
  </si>
  <si>
    <t>Kuro kovertavimo įrankis</t>
  </si>
  <si>
    <t>Paaiškinimas</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</si>
  <si>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</si>
  <si>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</si>
  <si>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</si>
  <si>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Nurodo, kad langelis turi būti užpildytas pasirenkant reikšmę iš išskleidžiamojo sąrašo (pvz., kuro tipą arba matavimo vienetą) arba įvedant kiekį.</t>
  </si>
  <si>
    <t>Degalų rūšis</t>
  </si>
  <si>
    <t>Kiekis</t>
  </si>
  <si>
    <t>Medžiagos būsena</t>
  </si>
  <si>
    <t>Įprasta atsinaujinančios energijos būsena</t>
  </si>
  <si>
    <t>Apskaičiuota energija (MWh)</t>
  </si>
  <si>
    <t>Kuro kovertavimo įrankio naudojimas:</t>
  </si>
  <si>
    <t>1. Langelyje A9 pasirinkite naudojamą kurą, ieškodami jo arba slinkdami žemyn rodomame sąraše spustelėdami langelį.</t>
  </si>
  <si>
    <t>3. Langelyje C9 pasirinkite sunaudoto kuro kiekį</t>
  </si>
  <si>
    <t>Langelyje D9 rodoma pasirinkto kuro būsena</t>
  </si>
  <si>
    <t>5. Langelyje E9 rodoma pasirinkto kuro tipinė atsinaujinamumo būsena.</t>
  </si>
  <si>
    <t>Langelyje F9 pateikiama energija, pagaminta megavatvalandėmis pagal nurodytą degalų kiekį.</t>
  </si>
  <si>
    <t>Langelyje A28 pateikiama bendroji energija megavatvalandėmis</t>
  </si>
  <si>
    <t>Langelyje A31 rodoma bendro atsinaujinančios energijos, išreikštos megavatvalandėmis, suma.</t>
  </si>
  <si>
    <t>Langelyje B31 rodoma bendroji neatsinaujinančios energijos suma megavatvalandėmis (MWh)</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</si>
  <si>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</si>
  <si>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Perkelkite bendrą apskaičiuotą rezultatą į B3 „Kuro energijos suvartojimas“ ataskaitos langelį</t>
  </si>
  <si>
    <t>Atsinaujinančiųjų išteklių energija (MWh)</t>
  </si>
  <si>
    <t>Bendras neatsinaujinančios energijos suvartojimas [MWh]</t>
  </si>
  <si>
    <t>Tolimesnės pastabos:</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</si>
  <si>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</si>
  <si>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Kietojo kuro energijos suvartojimas per valandą (MWh):</t>
  </si>
  <si>
    <t>Energija [MWh] = Masė [t] * NCV [MWh/t]</t>
  </si>
  <si>
    <t>Skystųjų degalų energijos suvartojimas per valandą MWh:</t>
  </si>
  <si>
    <t>Energija [MWh] = Masė [t] * [MWh/t]</t>
  </si>
  <si>
    <t>Energijos suvartojimas per valandą MWh dujiniams kurams:</t>
  </si>
  <si>
    <t>Matavimo vienetų keitiklis</t>
  </si>
  <si>
    <t>Nuo</t>
  </si>
  <si>
    <t>Masės konverterio matavimo vienetas</t>
  </si>
  <si>
    <t>Tūrio konverterio matavimo vienetas</t>
  </si>
  <si>
    <t>NVC konverterio matavimo vienetas</t>
  </si>
  <si>
    <t>Tankio konverterio matavimo vienetas</t>
  </si>
  <si>
    <t>Matavimo vienetų konverterio naudojimas</t>
  </si>
  <si>
    <t>Veiksmai, kuriuos reikia atlikti masės lentelėje:</t>
  </si>
  <si>
    <t>1. Lentelės langelyje B5 („Masės konverterio vienetas“) įrašykite tą matavimo vienetą, kurį norite konvertuoti.</t>
  </si>
  <si>
    <t>2. Tada langelyje B6 įrašykite masės kiekį.</t>
  </si>
  <si>
    <t>3. Galiausiai langelyje D5 nurodykite atitinkamą matavimo vienetą.</t>
  </si>
  <si>
    <t>Konvertavimo rezultatas bus rodomas langelyje D6.</t>
  </si>
  <si>
    <t xml:space="preserve">
Kitoms lentelėms (tūrio, energijos suvartojimo, tankio ir NCV) taikomi tie patys žingsniai kaip masės lentelei.</t>
  </si>
  <si>
    <t>Žemiau pateikiami visų lentelių matavimo vienetų konvertavimai.</t>
  </si>
  <si>
    <t>NEBAIGTA</t>
  </si>
  <si>
    <t>BAIGTA</t>
  </si>
  <si>
    <t>TRŪKSTAMA REIKŠMĖ</t>
  </si>
  <si>
    <t>VERTĖS NESUTAPIMAS</t>
  </si>
  <si>
    <t>KLAIDA + VERTĖS NESUTAPIMAS</t>
  </si>
  <si>
    <t>KLAIDA + TRŪKSTAMA REIKŠMĖ + VERTĖS NENUOSEKLUMAS</t>
  </si>
  <si>
    <t>KLAIDA + TRŪKSTAMA VERTĖ</t>
  </si>
  <si>
    <t>TRŪKSTAMA REIKŠMĖ + VERTĖS NEATITIKIMAS</t>
  </si>
  <si>
    <t>NETINKAMAS URL</t>
  </si>
  <si>
    <t>TINKAMA</t>
  </si>
  <si>
    <t>ℹ️ Skystas kuras: pasirinkite vieną matavimo vienetą iš m³ ir L</t>
  </si>
  <si>
    <t>ℹ️ Kietasis kuras: pasirinkite vieną matavimo vienetą tarp Gg, t, kg ir g</t>
  </si>
  <si>
    <t>ℹ️ Dujinis kuras: pasirinkite vieną matavimo vienetą tarp m³ ir L</t>
  </si>
  <si>
    <t>ℹ️ Įmonės identifikatorius yra unikalus ID, kuris leis identifikuoti įmonę, kuri pateikė informaciją. VSME standartas nereikalauja jokio konkretaus identifikatoriaus. Įmonės identifikatorius yra privalomas skaitmeniniam ataskaitų teikimui.</t>
  </si>
  <si>
    <t>ℹ️ Jei dešinėje pusėje pasirodys ŽINUTĖ APIE VERTĖS NESUTAPIMĄ, įsitikinkite, kad ataskaitinio laikotarpio pabaigos data yra vėlesnė už ataskaitinio laikotarpio pradžios datą.</t>
  </si>
  <si>
    <t>ℹ️ Sąrašai gali būti išplėsti paspaudus mažą mygtuką [+] kairėje. Jei eilučių skaičius yra nepakankamas, jas galima pridėti dešiniuoju pelės klavišu spustelėjus antrą eilutę ir pasirinkus "Įterpti eilutę".</t>
  </si>
  <si>
    <t>ℹ️ Jei įmonės teisinė forma pasirenkama „kita“, užpildykite žemiau esančią eilutę.</t>
  </si>
  <si>
    <t>ℹ️ Pasirinkite NACE kodą, o ne kategoriją; priešingu atveju bus rodomas KLAIDOS pranešimas.</t>
  </si>
  <si>
    <t>ℹ️ Prašome atidžiai atskirti kiekvieną gatvės numerį ir namo numerį naudojant pasvirąjį brūkšnį "/" o ne kablelį ",".</t>
  </si>
  <si>
    <t>ℹ️ Atkreipkite dėmesį, kad šiame langelyje esanti formulė gali būti perrašyta, jei įmonė nori reikšmę pateikti tiesiogiai.</t>
  </si>
  <si>
    <t>ℹ️ Trečios apimties kategorijos pagal ŠESD protokolą gali padėti apskaičiuoti bendras trečios apimties ŠESD emisijas. Jei įmonė pageidauja, jis gali tiesiogiai pateikti bendras trečios apimties ŠESD emisijas atitinkamame langelyje.</t>
  </si>
  <si>
    <t>ℹ️ Jei rodoma vertės neatitikimo susijusi patikra, pasirinkite kitokį svetainės ID nei anksčiau pasirinkti.</t>
  </si>
  <si>
    <t>ℹ️ Prašome pasirinkti atliekų rūšį (pavojingas arba nepavojingas), o ne kategoriją, kitaip bus parodytas KLAIDOS pranešimas.</t>
  </si>
  <si>
    <t>ℹ️ Prašome įsitikinti, kad bendras darbuotojų skaičius yra toks pat, kaip nurodyta skiltyje „Bendroji informacija“, langelyje E55</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</si>
  <si>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</si>
  <si>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Lithuanian - Reviewed translation by Lithuanian Standard Setter</t>
  </si>
  <si>
    <t>Pajamos iš tam tikrų veiklų</t>
  </si>
  <si>
    <t>template_label_does_the_undertaking_operate_in_a_sector_using_significant_material_flows</t>
  </si>
  <si>
    <t>Preparado de conformidad con la Norma Voluntaria de Información sobre Sostenibilidad para pequeñas y medianas empresas (VSME), publicada por la Comisión Europea el 30 de julio de 2025.</t>
  </si>
  <si>
    <t>5. Convierte esta plantilla en un informe Inline XBRL (o XBRL-JSON, XBRL-CSV) utilizando el convertidor en línea. Presta atención a la validación XBRL realizada por el validador.</t>
  </si>
  <si>
    <t>Przygotowano zgodnie z Dobrowolnym Standardem Sprawozdawczości Zrównoważonego Rozwoju dla małych i średnich przedsiębiorstw (VSME), opublikowanym przez Komisję Europejską w dniu 30 lipca 2025 r.</t>
  </si>
  <si>
    <t>5. Przekonwertuj ten uzupełniony szablon na raport Inline XBRL (lub XBRL-JSON, XBRL-CSV) korzystając z konwertera online. Zwróć uwagę na walidację XBRL przeprowadzaną przez walidator.</t>
  </si>
  <si>
    <t>Parengta laikantis Smulkių ir vidutinių įmonių savanoriškojo tvarumo ataskaitų teikimo standarto (VSME), kurį 2025 m. liepos 30 d. paskelbė Europos Komisija.</t>
  </si>
  <si>
    <t>5. Šį šabloną konvertuokite į Inline XBRL ataskaitą (arba XBRL-JSON, XBRL-CSV), naudodami internetinį konvertavimo įrankį. Atkreipkite dėmesį į XBRL patikros rezultatus, kuriuos pateikia tikrinimo įrankis.</t>
  </si>
  <si>
    <t>Nome da Entidade</t>
  </si>
  <si>
    <t>Identificador da Entidade</t>
  </si>
  <si>
    <t>Esquema de Identificador da Entidade</t>
  </si>
  <si>
    <t>Moeda de reporte</t>
  </si>
  <si>
    <t>Todas as divulgações respeitam ao período de reporte acima, salvo indicação em contrário.</t>
  </si>
  <si>
    <t>Ponto de entrada na taxonomia:</t>
  </si>
  <si>
    <t>Selecionar idioma de exibição do modelo:</t>
  </si>
  <si>
    <t>Como usar:</t>
  </si>
  <si>
    <t>0. Forneça as informações que são obrigatórias para gerar o Relatório VSME e XBRL.</t>
  </si>
  <si>
    <t>4. Validar os dados introduzidos, verificando o estado da validação. O relatório é considerado incompleto ou incorreto se a validação falhar, podendo resultar num relatório XBRL inválido.</t>
  </si>
  <si>
    <t>Índice da cor de fundo da célula:</t>
  </si>
  <si>
    <t>Indica que a divulgação se baseia nos princípios gerais do VSME.</t>
  </si>
  <si>
    <t>Módulo de base</t>
  </si>
  <si>
    <t>Indica que a divulgação é proveniente do Módulo Básico VSME.</t>
  </si>
  <si>
    <t>Indica que a célula é calculada automaticamente e que não é necessária a introdução de dados.</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</si>
  <si>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</si>
  <si>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Indica que não é necessário inserir dados, a menos que certas lógicas sejam selecionadas na própria divulgação. Quando uma dessas lógicas é selecionada, esta célula ficará branca.</t>
  </si>
  <si>
    <t>Validação VALOR EM FALTA/ERRO/INCONSISTÊNCIA DE VALOR/URL INVÁLIDO</t>
  </si>
  <si>
    <t xml:space="preserve">Indica que a introdução dos dados está incorreta em termos de formato ou que faltam certas informações para relatar corretamente a divulgação. 
</t>
  </si>
  <si>
    <t xml:space="preserve">Indica que a introdução dos dados está correta e que a empresa pode avançar para a próxima divulgação.
</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</si>
  <si>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</si>
  <si>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</si>
  <si>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 xml:space="preserve">"Os direitos de reprodução e utilização são estritamente limitados. Para mais informações, contacte efragsecretariat@efrag.org" 
</t>
  </si>
  <si>
    <t>Estado Global da Validação</t>
  </si>
  <si>
    <t>Agrupamento de conteúdos segue a estrutura do modelo</t>
  </si>
  <si>
    <t>Estado de Validação de Conteúdo Específico</t>
  </si>
  <si>
    <t xml:space="preserve">Informação Geral
</t>
  </si>
  <si>
    <t>Informações no relatório necessárias para XBRL</t>
  </si>
  <si>
    <t>· Informação sobre o período de reporte anterior</t>
  </si>
  <si>
    <t>Base para a elaboração e informações gerais da empresa</t>
  </si>
  <si>
    <t>Listas das subsidiárias</t>
  </si>
  <si>
    <t>Divulgação de certificação(s) ou selo(s) relacionado(s) com a sustentabilidade</t>
  </si>
  <si>
    <t>Lista de locais</t>
  </si>
  <si>
    <t>B2 — Práticas, políticas e iniciativas futuras para a transição para uma economia mais sustentável</t>
  </si>
  <si>
    <t>Divulgações específicas das cooperativas</t>
  </si>
  <si>
    <t>Consumo Total de Energia (em MWh)</t>
  </si>
  <si>
    <t>Desagregação do consumo de energia (em MWh)</t>
  </si>
  <si>
    <t>Emissões brutas estimadas de gases com efeito de estufa tendo em consideração o Protocolo GEE Versão 2004 (em teCO2)</t>
  </si>
  <si>
    <t>B4 — Poluição do ar, da água e do solo</t>
  </si>
  <si>
    <t>Locais em zonas sensíveis do ponto de vista da biodiversidade</t>
  </si>
  <si>
    <t>Captação de água</t>
  </si>
  <si>
    <t>Consumo de Água</t>
  </si>
  <si>
    <t>Desperdício gerado</t>
  </si>
  <si>
    <t>Fluxo mássico anual dos materiais relevantes utilizados</t>
  </si>
  <si>
    <t>Divulgações Sociais</t>
  </si>
  <si>
    <t>B9 — Mão-de-obra — Saúde e segurança</t>
  </si>
  <si>
    <t>Divulgações de Governança</t>
  </si>
  <si>
    <t>Módulo abrangente</t>
  </si>
  <si>
    <t>· C1 - Estratégia: Modelo de negócio e sustentabilidade — Iniciativas conexas</t>
  </si>
  <si>
    <t>· C3 - Objetivos de redução de GEE e transição climática</t>
  </si>
  <si>
    <t>Divulgação de lista com as principais ações que a entidade pretende executar para atingir os seus objetivos</t>
  </si>
  <si>
    <t>C4 – Riscos climáticos</t>
  </si>
  <si>
    <t>· C5 - Características adicionais (gerais) da mão-de-obra</t>
  </si>
  <si>
    <t xml:space="preserve">C6 — Informações adicionais sobre a própria mão-de-obra — Políticas e processos em matéria de direitos humanos
  </t>
  </si>
  <si>
    <t>· C7 - Incidentes negativos graves em matéria de direitos humanos</t>
  </si>
  <si>
    <t>Divulgações Adicionais</t>
  </si>
  <si>
    <t>Referência do parágrafo</t>
  </si>
  <si>
    <t>Referência de Orientação do Parágrafo</t>
  </si>
  <si>
    <t>para</t>
  </si>
  <si>
    <t>[Sempre a ser reportado]</t>
  </si>
  <si>
    <t>Pode ser (opcional)</t>
  </si>
  <si>
    <t>Sempre a ser reportado + Se aplicável</t>
  </si>
  <si>
    <t>[Se aplicável, ligado ao B2]</t>
  </si>
  <si>
    <t>montante em</t>
  </si>
  <si>
    <t>Nome da entidade que reporta</t>
  </si>
  <si>
    <t>Identificador da entidade que reporta (selecione e especifique à direita)</t>
  </si>
  <si>
    <t>Moeda em que os valores monetários do relatório estão expressos</t>
  </si>
  <si>
    <t>Ano de início</t>
  </si>
  <si>
    <t>Mês de início</t>
  </si>
  <si>
    <t>Ano de término</t>
  </si>
  <si>
    <t>Data final do período de reporte (aaaa-mm-dd)</t>
  </si>
  <si>
    <t>Informação sobre o período de reporte anterior</t>
  </si>
  <si>
    <t>Este relatório contém divulgações do período de relato anterior que permanecem inalteradas</t>
  </si>
  <si>
    <t>Lista de divulgações para as quais não se reportam alterações em relação ao período de relato anterior</t>
  </si>
  <si>
    <t>Ligação para o relatório anterior com as divulgações que permanecem inalteradas</t>
  </si>
  <si>
    <t>Base de preparação (apenas Módulo Básico ou Módulo Básico e Abrangente</t>
  </si>
  <si>
    <t>Lista de divulgações omitidas consideradas informação classificada ou sensível</t>
  </si>
  <si>
    <t>Base de reporte (consolidada ou individual)</t>
  </si>
  <si>
    <t>Forma jurídica da empresa</t>
  </si>
  <si>
    <t>Especificação da forma jurídica de outra entidade</t>
  </si>
  <si>
    <t xml:space="preserve">Código(s) NACE de classificação setorial </t>
  </si>
  <si>
    <t>Valor do balanço (total de ativos) em</t>
  </si>
  <si>
    <t>Número de trabalhadores</t>
  </si>
  <si>
    <t>Metodologia de contagem de trabalhadores (No final do período de relato ou como média durante o período de relato)</t>
  </si>
  <si>
    <t>Metodologia de contagem de trabalhadores (Número de efetivos ou Equivalente a tempo completo)</t>
  </si>
  <si>
    <t>País das operações principais e localização do(s) ativo(s) significativo(s)</t>
  </si>
  <si>
    <t>Sede social</t>
  </si>
  <si>
    <t>B1 - Divulgação de certificação(ões) ou selo(s) relacionados com a sustentabilidade</t>
  </si>
  <si>
    <t>A empresa obteve alguma certificação ou selo relacionado com a sustentabilidade?</t>
  </si>
  <si>
    <t xml:space="preserve">Descrição das certificações ou selos relacionados com a sustentabilidade, incluindo, quando relevante, os emissores das certificações ou selos, a data e a pontuação atribuída.
</t>
  </si>
  <si>
    <t>B1 - Lista de locais</t>
  </si>
  <si>
    <t>Morada</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</si>
  <si>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</si>
  <si>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A empresa adotou práticas específicas, políticas e/ou iniciativas futuras para a transição para uma economia mais sustentável?</t>
  </si>
  <si>
    <t>Questões de sustentabilidade abordadas por uma política prática e/ou iniciativas futuras que a empresa tenha implementado</t>
  </si>
  <si>
    <t>A empresa tem uma política prática e/ou iniciativa futura que está disponível publicamente</t>
  </si>
  <si>
    <t>A empresa fixou um objetivo relacionado com uma política</t>
  </si>
  <si>
    <t>Alterações climáticas</t>
  </si>
  <si>
    <t>Água e recursos marinhos</t>
  </si>
  <si>
    <t>Mão de obra própria</t>
  </si>
  <si>
    <t>Conduta empresarial</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</si>
  <si>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</si>
  <si>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 xml:space="preserve">Objetivos de redução de emissões de GEE (em tCO2₂e)
</t>
  </si>
  <si>
    <t>B1 - Base de preparação e outras informações gerais da entidade</t>
  </si>
  <si>
    <t>Trabalhadores na cadeia de valor</t>
  </si>
  <si>
    <t>A participação efetiva dos trabalhadores, utilizadores ou outras partes interessadas ou comunidades na governação</t>
  </si>
  <si>
    <t>O investimento financeiro no capital ou nos ativos das entidades da economia social a que se refere a Recomendação do Conselho de 29 de setembro de 2023 (excluindo donativos e contribuições)</t>
  </si>
  <si>
    <t>Quaisquer limites à distribuição de lucros ligados à natureza mutualista ou à natureza das atividades que consistem em serviços de interesse económico geral (SIEG)</t>
  </si>
  <si>
    <t>C2 — Descrição das práticas, políticas e iniciativas futuras para a transição para uma economia mais sustentável</t>
  </si>
  <si>
    <t>Descrição de uma prática, política e/ou iniciativa futura para um futuro mais sustentável (Caso a prática, política ou iniciativa futura abranja fornecedores ou clientes, a empresa deve mencioná-lo)</t>
  </si>
  <si>
    <t>Descrição do objetivo relacionado com uma política</t>
  </si>
  <si>
    <t>O nível mais senior dentro dos seus empregados que é responsável pela implementação das políticas quando tal tenha sido determinado pela empresa</t>
  </si>
  <si>
    <t>C1 — Estratégia: Modelo de negócio e sustentabilidade — Iniciativas conexas</t>
  </si>
  <si>
    <t>Descrição dos grupos significativos de produtos disponibilizados e/ou serviços prestados</t>
  </si>
  <si>
    <t>Descrição dos mercados significativos em que a empresa atua (por exemplo, B2B, venda por grosso, venda a retalho, países)</t>
  </si>
  <si>
    <t>Descrição das principais relações comerciais (como os principais fornecedores, clientes, canais de distribuição)</t>
  </si>
  <si>
    <t>A estratégia tem elementos fundamentais que estão relacionados com, ou que afetam, questões de sustentabilidade?</t>
  </si>
  <si>
    <t>Descrição desses elementos fundamentais da estratégia que se relacionam com, ou que afetam, questões de sustentabilidade</t>
  </si>
  <si>
    <t>Divulgação de qualquer outra informação geral e/ou específica da entidade sobre o período de relato</t>
  </si>
  <si>
    <t>B3 — Consumo total de energia (em MWh)</t>
  </si>
  <si>
    <t>B3 — Repartição do consumo de energia (em MWh)</t>
  </si>
  <si>
    <t>A empresa obteve a informação necessária para fornecer uma discriminação do consumo de energia?</t>
  </si>
  <si>
    <t>Eletricidade (conforme refletida nas faturas de serviços públicos)</t>
  </si>
  <si>
    <t>Eletricidade de produção própria</t>
  </si>
  <si>
    <t>Combustíveis (ver Conversor de Combustíveis na folha Combustíveis)</t>
  </si>
  <si>
    <t xml:space="preserve">B3 – Emissões estimadas de gases com efeito de estufa considerando o Protocolo GEE Versão 2004 (em teCO2) 
</t>
  </si>
  <si>
    <t>C3 - Metas de redução de GEE (em tCO2e)</t>
  </si>
  <si>
    <t>A empresa estabeleceu metas de redução das emissões de GEE?</t>
  </si>
  <si>
    <t>Período de Relato Atual</t>
  </si>
  <si>
    <t>Ano-alvo</t>
  </si>
  <si>
    <t>Redução percentual em relação ao ano base</t>
  </si>
  <si>
    <t>Emissões brutas de gases com efeito de estufa (GEE) de âmbito 1</t>
  </si>
  <si>
    <t>Emissões brutas de âmbito 2 de GEE  baseadas na localização</t>
  </si>
  <si>
    <t>Emissões brutas de âmbito 2 de GEE  baseadas no mercado</t>
  </si>
  <si>
    <t>Emissões Totais de GEE de Âmbito 1 e Âmbito 2 (baseadas na localização)</t>
  </si>
  <si>
    <t>Emissões totais de GEE de Âmbito 1 e Âmbito 2 (baseadas no mercado)</t>
  </si>
  <si>
    <t>A empresa está a divulgar informações específicas sobre emissões do Âmbito 3 (em tCO2e)?</t>
  </si>
  <si>
    <t>2. Bens de Equipamento</t>
  </si>
  <si>
    <t>3. Atividades Relacionadas com Combustíveis e Energia (Não Incluídas no Âmbito 1 ou Âmbito 2)</t>
  </si>
  <si>
    <t>5. Resíduos Gerados nas Operações</t>
  </si>
  <si>
    <t>6. Viagens de Negócios</t>
  </si>
  <si>
    <t>7. Deslocação dos Empregados</t>
  </si>
  <si>
    <t>8. Ativos Arrendados a Montante</t>
  </si>
  <si>
    <t>9. Transporte e Distribuição a Jusante</t>
  </si>
  <si>
    <t>13. Ativos Arrendados a Jusante</t>
  </si>
  <si>
    <t>Emissões totais de GEE de Âmbito 3</t>
  </si>
  <si>
    <t>Emissões brutas totais de GEE de Âmbito 1, Âmbito 2 e Âmbito 3 (baseadas na localização)</t>
  </si>
  <si>
    <t>Emissões totais de GEE de Âmbito 1, Âmbito 2 e Âmbito 3 (baseadas no mercado)</t>
  </si>
  <si>
    <t>C3 - Divulgação da lista das principais ações que a entidade pretende implementar para atingir os seus objetivos</t>
  </si>
  <si>
    <t>C3 - Plano de transição para empresas que operam em setores com elevado impacto climático</t>
  </si>
  <si>
    <t>A Empresa opera em setores de elevado impacto?</t>
  </si>
  <si>
    <t>Estado da implementação de um plano de transição relacionado com a mitigação das alterações climáticas</t>
  </si>
  <si>
    <t>Descrição de um plano de transição para a mitigação das alterações climáticas, incluindo uma explicação de como está a contribuir para a redução das emissões de GEE</t>
  </si>
  <si>
    <t>Data de adoção prevista do plano de transição para a entidade que ainda não adotou um plano de transição</t>
  </si>
  <si>
    <t>B3 - Intensidade das emissões de gases com efeito de estufa por volume de negócios (em teCO2)</t>
  </si>
  <si>
    <t>Intensidade das emissões de GEE do Âmbito 1 e 2 (baseadas na localização)</t>
  </si>
  <si>
    <t>Intensidade das emissões de GEE do Âmbito 1 e 2 (baseadas no mercado)</t>
  </si>
  <si>
    <t>Intensidade total das emissões de GEE do Âmbito 1, Âmbito 2 e Âmbito 3 (baseadas na localização)</t>
  </si>
  <si>
    <t>Intensidade total das emissões de GEE do Âmbito 1, Âmbito 2 e Âmbito 3 (baseadas no mercado)</t>
  </si>
  <si>
    <t>A entidade já é obrigada por lei ou outros regulamentos nacionais a relatar às autoridades competentes as suas emissões de poluentes ou já as reporta voluntariamente de acordo com um Sistema de Gestão Ambiental?</t>
  </si>
  <si>
    <t>Por favor, forneça o link URL relevante ou a hiperligação onde esta informação é reportada.</t>
  </si>
  <si>
    <t>Por favor, selecione a unidade utilizada para reportar o montante (i.e. kg ou tonelada)</t>
  </si>
  <si>
    <t>Emissão para o ar</t>
  </si>
  <si>
    <t>B5 – Locais em áreas sensíveis à biodiversidade</t>
  </si>
  <si>
    <t>A empresa tem locais de atividade que estão localizados em ou próximos de zonas sensíveis do ponto de vista da biodiversidade?</t>
  </si>
  <si>
    <t>Por favor, selecione a unidade usada para a área (ou seja, hectares ou m²):</t>
  </si>
  <si>
    <t>ID do Local Relacionado (selecione um ID de uma localização do local reportado em B1)</t>
  </si>
  <si>
    <t>Localização do sítio perto de uma área de biodiversidade - preenchido automaticamente a partir do B1</t>
  </si>
  <si>
    <t>Sítio localizado perto de uma zona sensível à biodiversidade</t>
  </si>
  <si>
    <t>B5 – Biodiversidade – Utilização do solo</t>
  </si>
  <si>
    <t>Superfície total de área confinada</t>
  </si>
  <si>
    <t>Superfície total de zona orientada para a natureza no local de atividade</t>
  </si>
  <si>
    <t>Superfície total de zona orientada para a natureza fora do local de atividade</t>
  </si>
  <si>
    <t>Uso total do solo</t>
  </si>
  <si>
    <t>B6 — Captação de água</t>
  </si>
  <si>
    <t>Montante total de água retirada de todos os locais (metros cúbicos m³)</t>
  </si>
  <si>
    <t>Quantidade de água captada em locais situados em áreas de elevado stress hídrico (metros cúbicos m³)</t>
  </si>
  <si>
    <t>B6 - Consumo de água</t>
  </si>
  <si>
    <t>A empresa dispõe de processos de produção com consumos significativos de água (por exemplo, processos de energia térmica como secagem ou produção de energia, produção de bens, irrigação agrícola, etc.)?</t>
  </si>
  <si>
    <t>Descarga de água dos processos de produção da entidade (m³)</t>
  </si>
  <si>
    <t>A empresa aplica os princípios da economia circular</t>
  </si>
  <si>
    <t>Descrição de como a empresa aplica estes princípios</t>
  </si>
  <si>
    <t>Tipo de resíduos</t>
  </si>
  <si>
    <t>Resíduos destinados a eliminação</t>
  </si>
  <si>
    <t>Quantidade de resíduos reciclados, reutilizados e encaminhados para eliminação</t>
  </si>
  <si>
    <t>Resíduos Perigosos totais gerados (massa)</t>
  </si>
  <si>
    <t>Resíduos Não Perigosos Totais Gerados (massa)</t>
  </si>
  <si>
    <t>Produção total de resíduos (massa)</t>
  </si>
  <si>
    <t>Resíduos perigosos totais gerados (volume)</t>
  </si>
  <si>
    <t>Resíduos não perigosos totais gerados (volume)</t>
  </si>
  <si>
    <t>Produção total de resíduos (volume)</t>
  </si>
  <si>
    <t>B7 – Fluxo anual de massa de materiais relevantes utilizados</t>
  </si>
  <si>
    <t>A empresa opera num setor que utiliza fluxos significativos de materiais (por exemplo, fabrico, construção, embalagem ou outros)?</t>
  </si>
  <si>
    <t>Nome do material essencial</t>
  </si>
  <si>
    <t>Fluxo anual de massa total dos materiais relevantes utilizados (massa em kg)</t>
  </si>
  <si>
    <t>Fluxo de massa anual total dos materiais relevantes utilizados (volume em m³)</t>
  </si>
  <si>
    <t xml:space="preserve">A empresa identificou perigos relacionados com o clima e eventos de transição relacionados com o clima que criam riscos brutos relacionados com o clima para a empresa?
</t>
  </si>
  <si>
    <t>Descrição sucinta dos perigos relacionados com o clima e eventos de transição relacionados com o clima</t>
  </si>
  <si>
    <t>Divulgação da forma como avaliou a exposição e a sensibilidade dos seus ativos, atividades e cadeia de valor a estes perigos e eventos de transição</t>
  </si>
  <si>
    <t>Horizontes temporais de quaisquer perigos relacionados com o clima e eventos de transição identificados</t>
  </si>
  <si>
    <t xml:space="preserve">Divulgação se realizou ações de adaptação às alterações climáticas para quaisquer perigos relacionados com o clima e eventos de transição. 
</t>
  </si>
  <si>
    <t>Potenciais efeitos adversos dos riscos climáticos suscetíveis de afetar o seu desempenho financeiro ou as suas operações comerciais a curto, médio ou longo prazo, indicando se avalia os riscos como elevados, médios ou baixos.</t>
  </si>
  <si>
    <t>Divulgação de quaisquer outras divulgações ambientais e/ou específicas da entidade relativas ao ambiente</t>
  </si>
  <si>
    <t>Metodologia de contagem de trabalhadores para as divulgações abaixo (Número de efetivos ou Equivalente a Tempo completo relacionados com B1)</t>
  </si>
  <si>
    <t>Metodologia de contagem de trabalhadores para as divulgações abaixo (No final do período de relato ou como uma média ao longo do período de relato ligado a partir de B1)</t>
  </si>
  <si>
    <t>B8 – Mão-de-obra – Características gerais - Tipo de contrato</t>
  </si>
  <si>
    <t>Contrato sem termo</t>
  </si>
  <si>
    <t>Contrato a termo</t>
  </si>
  <si>
    <t>Total de trabalhadores (relacionados com B1)</t>
  </si>
  <si>
    <t>B8 – Força de trabalho – Características gerais - Género</t>
  </si>
  <si>
    <t>Feminino</t>
  </si>
  <si>
    <t>Não reportado</t>
  </si>
  <si>
    <t>B8 – Mão-de-obra – Características gerais – País do contrato de trabalho</t>
  </si>
  <si>
    <t>B8 – Mão-de-obra – Características gerais - Taxa de rotatividade</t>
  </si>
  <si>
    <t>Número de trabalhadores que saíram durante o período de relato</t>
  </si>
  <si>
    <t>Número de trabalhadores no início do período de relato</t>
  </si>
  <si>
    <t>Número de trabalhadores no final do período de relato</t>
  </si>
  <si>
    <t>Taxa de rotatividade de trabalhadores [%] no período de relato</t>
  </si>
  <si>
    <t>Número de acidentes relacionados com o trabalho passíveis de registo no período de relato</t>
  </si>
  <si>
    <t>Número de horas trabalhadas por um empregado a tempo inteiro no período de relato</t>
  </si>
  <si>
    <t>Número total de horas trabalhadas num ano por todos os trabalhadores no período de relato</t>
  </si>
  <si>
    <t>Taxa de acidentes relacionados com o trabalho passíveis de registo no período de relato</t>
  </si>
  <si>
    <t>Número de mortes devido a lesões relacionadas com o trabalho e a problemas de saúde relacionados com o trabalho</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</si>
  <si>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</si>
  <si>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Nível médio de remuneração horária bruta dos trabalhadores do sexo masculino</t>
  </si>
  <si>
    <t>Nível médio de remuneração horária bruta dos trabalhadores do sexo feminino</t>
  </si>
  <si>
    <t>Disparidade percentual na remuneração entre os trabalhadores do sexo feminino e do sexo masculino  da empresa [%]</t>
  </si>
  <si>
    <t>Número de trabalhadores abrangidos por convenções coletivas de trabalho</t>
  </si>
  <si>
    <t>Percentagem de trabalhadores abrangidos por convenções coletivas de trabalho [%]</t>
  </si>
  <si>
    <t>Número médio de horas anuais de formação por trabalhador</t>
  </si>
  <si>
    <t>C5 – Características adicionais (gerais) da mão-de-obra</t>
  </si>
  <si>
    <t>Número de trabalhadores do sexo masculino ao nível dos quadros superiores</t>
  </si>
  <si>
    <t>Número de trabalhadores do sexo feminino ao nível dos quadros superiores</t>
  </si>
  <si>
    <t>Rácio de mulheres para homens ao nível dos quadros superiores durante o período de relato</t>
  </si>
  <si>
    <t>Total de trabalhadores temporários cedidos por empresas principalmente dedicadas a atividades de emprego</t>
  </si>
  <si>
    <t>C6 – Informações adicionais sobre a própria mão-de-obra — Políticas e processos em matéria de direitos humanos</t>
  </si>
  <si>
    <t>A empresa dispõe de um código de conduta ou de uma política de direitos humanos para a sua própria mão-de-obra?</t>
  </si>
  <si>
    <t>Se sim, isso cobre:</t>
  </si>
  <si>
    <t>· tráfico de seres humanos</t>
  </si>
  <si>
    <t>Especifique outros tipos de conteúdo abrangidos pelo código de conduta ou pela política de direitos humanos</t>
  </si>
  <si>
    <t>A empresa dispõe de um mecanismo de tratamento de reclamações para a sua própria mão-de-obra?</t>
  </si>
  <si>
    <t>C7 – Incidentes negativos graves em matéria de direitos humanos</t>
  </si>
  <si>
    <t>A empresa tem incidentes confirmados na sua própria mão-de-obra?</t>
  </si>
  <si>
    <t>Se sim, os incidentes estão relacionados com:</t>
  </si>
  <si>
    <t xml:space="preserve">Especifique outros direitos humanos relacionados com os incidentes confirmados
</t>
  </si>
  <si>
    <t>Descrição das medidas tomadas para fazer face aos incidentes confirmados</t>
  </si>
  <si>
    <t>A entidade tem conhecimento de algum incidente confirmado envolvendo trabalhadores na cadeia de valor, comunidades afetadas, consumidores e utilizadores finais?</t>
  </si>
  <si>
    <t xml:space="preserve">Especificação de quaisquer incidentes confirmados envolvendo trabalhadores da cadeia de valor, comunidades afetadas, consumidores e utilizadores finais
</t>
  </si>
  <si>
    <t>Divulgação de quaisquer outras divulgações sociais e/ou específicas da entidade relativas a aspetos sociais</t>
  </si>
  <si>
    <t>A entidade incorreu em condenações e multas no período de reporte?</t>
  </si>
  <si>
    <t>Montante total das multas por violação das leis anticorrupção e antissuborno</t>
  </si>
  <si>
    <t>C8 – Rédito de determinadas atividades</t>
  </si>
  <si>
    <t>A entidade obtém rédito de uma das atividades listadas abaixo?</t>
  </si>
  <si>
    <t>Rédito derivado de armas controversas (minas antipessoais, munições de fragmentação, armas químicas e armas biológicas)</t>
  </si>
  <si>
    <t>Rédito proveniente do cultivo e produção de tabaco</t>
  </si>
  <si>
    <t>Rédito derivado do carvão</t>
  </si>
  <si>
    <t>Rédito derivado do petróleo</t>
  </si>
  <si>
    <t>Rèdito derivado do gás</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</si>
  <si>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</si>
  <si>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Rèdito derivado da produção de produtos químicos</t>
  </si>
  <si>
    <t>C8 – Exclusão dos índices de referência da UE</t>
  </si>
  <si>
    <t>As empresas são excluídas dos Índices de Referência Alinhados com a UE e o Acordo de Paris se elas derivarem:</t>
  </si>
  <si>
    <t>1% ou mais do seu rédito é proveniente da exploração, mineração, extração, distribuição ou refinação de carvão betuminoso e linhito</t>
  </si>
  <si>
    <t xml:space="preserve">Empresas que obtêm 10 % ou mais do seu rédito da exploração, extração, distribuição ou refinação de combustíveis petrolíferos;
</t>
  </si>
  <si>
    <t xml:space="preserve">Empresas que obtêm 50 % ou mais do seu rédito da exploração, extração, fabrico ou distribuição de combustíveis gasosos
</t>
  </si>
  <si>
    <t>Empresas que obtêm 50% ou mais do seu rédito da produção de eletricidade com uma intensidade de emissões de gases com efeito de estufa superior a 100 g CO2e/kWh.</t>
  </si>
  <si>
    <t>Nenhum dos anteriores</t>
  </si>
  <si>
    <t>A empresa deve divulgar se está excluída de quaisquer índices de referência da UE que estejam alinhados com o Acordo de Paris.</t>
  </si>
  <si>
    <t>C9 – Proporção de diversidade de género no órgão de governação</t>
  </si>
  <si>
    <t>A entidade tem um órgão de governação estabelecido?</t>
  </si>
  <si>
    <t>Número de membros do conselho do sexo feminino no final do período de relato</t>
  </si>
  <si>
    <t>Número de membros masculinos do conselho no final do período de reporte</t>
  </si>
  <si>
    <t>Divulgação de quaisquer outras divulgações de governação e/ou divulgações de governação específicas da entidade</t>
  </si>
  <si>
    <t>AVISO:</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</si>
  <si>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</si>
  <si>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</si>
  <si>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</si>
  <si>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Indica que a célula deve ser preenchida selecionando um valor da lista pendente (por exemplo, Tipo de combustível ou Unidade de Medida) ou introduzindo um montante.</t>
  </si>
  <si>
    <t>Energia Calculada em MWh</t>
  </si>
  <si>
    <t>Uso do Conversor de Combustível:</t>
  </si>
  <si>
    <t>3. Na célula C9 selecione a Quantidade de combustível usado</t>
  </si>
  <si>
    <t>4. Na célula D9 é mostrado o Estado físico do Combustível selecionado</t>
  </si>
  <si>
    <t>10. Notas adicionais podem ser encontradas abaixo</t>
  </si>
  <si>
    <t>Transfira o total dos resultados calculados para a célula de relatório B3 "Consumo de Energia de Combustíveis"</t>
  </si>
  <si>
    <t>Consumo Total de Energia Renovável [MWh]</t>
  </si>
  <si>
    <t>Consumo total de energia não renovável [MWh]</t>
  </si>
  <si>
    <t>Notas adicionais:</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</si>
  <si>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</si>
  <si>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Consumo de Energia por Hora em MWh para Combustíveis Sólidos:</t>
  </si>
  <si>
    <t>Energia [MWh] = Massa [t] * PCI [MWh/t]</t>
  </si>
  <si>
    <t>Consumo de Energia por Hora em MWh para Combustíveis Líquidos:</t>
  </si>
  <si>
    <t>Consumo de Energia por Hora em MWh para Combustíveis Gasosos:</t>
  </si>
  <si>
    <t>CONVERSOR DE UNIDADES DE MEDIDA</t>
  </si>
  <si>
    <t>Unidade de medida do Conversor de Massa</t>
  </si>
  <si>
    <t>Unidade de medida do Conversor de Volume</t>
  </si>
  <si>
    <t>Unidade de medição do Consumo de Energia por Hora</t>
  </si>
  <si>
    <t>Unidade de medição do Conversor de Densidade</t>
  </si>
  <si>
    <t>Utilização do Conversor de Unidade de Medida</t>
  </si>
  <si>
    <t xml:space="preserve">Passos a seguir para a tabela de Massa:
</t>
  </si>
  <si>
    <t xml:space="preserve">Os passos a seguir para as outras tabelas (Volume, Consumo de Energia, Densidade e PCI) são os mesmos da tabela Massa. 
</t>
  </si>
  <si>
    <t>A seguir estão especificadas todas as conversões de unidades de medida de cada tabela.</t>
  </si>
  <si>
    <t>▪ Unidade de medida do Conversor de Densidade:</t>
  </si>
  <si>
    <t>▪ Unidade de medida do Conversor NCV:</t>
  </si>
  <si>
    <t>VALOR EM FALTA</t>
  </si>
  <si>
    <t>INCONSISTÊNCIA DE VALORES</t>
  </si>
  <si>
    <t>ERRO + VALOR EM FALTA + INCONSISTÊNCIA DE VALOR</t>
  </si>
  <si>
    <t>ERRO + VALOR EM FALTA</t>
  </si>
  <si>
    <t>VALOR EM FALTA + INCONSISTÊNCIA DE VALOR</t>
  </si>
  <si>
    <t>ℹ️ Combustível gasoso: por favor selecione uma unidade de medida entre m³ e L</t>
  </si>
  <si>
    <t>ℹ️ O identificador da entidade é um ID único que permitirá identificar a empresa que reportou a informação. A Norma VSME não exige nenhum identificador específico. Um identificador da entidade é necessário para a reporte digital.</t>
  </si>
  <si>
    <t>ℹ️ Se a mensagem VALOR INCONSISTENTE aparecer à direita, por favor assegure-se de que a data final do período de reporte é superior à data inicial do período de reporte.</t>
  </si>
  <si>
    <t>ℹ️ As listas podem ser expandidas usando o pequeno botão [+] à esquerda. Se o número de linhas não for suficiente, podem ser adicionadas outras clicando com o botão direito do mouse na segunda linha e selecionando "Inserir linha".</t>
  </si>
  <si>
    <t>ℹ️ Quando for escolhida a opção 'outro' como forma jurídica da entidade, por favor preencha a linha abaixo.</t>
  </si>
  <si>
    <t>ℹ️ Por favor, selecione um código NACE em vez de uma categoria, caso contrário, aparecerá uma mensagem de ERRO.</t>
  </si>
  <si>
    <t>ℹ️ Por favor, tenha cuidado para separar cada número de rua e número da casa utilizando o símbolo barra \"/\" e não a vírgula \",\".</t>
  </si>
  <si>
    <t>ℹ️ Por favor, note que a fórmula presente nesta célula pode ser sobrescrita caso a empresa queira fornecer diretamente o valor.</t>
  </si>
  <si>
    <t xml:space="preserve">ℹ️ As categorias do Âmbito 3 segundo o Protocolo GEE podem ajudar a calcular as emissões totais de GEE do Âmbito 3. Caso a empresa deseje, pode fornecer diretamente as Emissões Totais de GEE do Âmbito 3 na célula respetiva.
</t>
  </si>
  <si>
    <t>ℹ️ Se for apresentada uma validação relacionada com inconsistência de valores, selecione um ID do local diferente de um dos anteriormente selecionados.</t>
  </si>
  <si>
    <t>ℹ️ Por favor, selecione um Tipo de resíduo (Perigoso ou Não Perigoso) em vez de uma categoria, caso contrário aparecerá uma mensagem de ERRO.</t>
  </si>
  <si>
    <t>ℹ️ Por favor, certifique-se de que o número total de trabalhadores é igual ao indicado na célula E55 da folha "Informações Gerais"</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</si>
  <si>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</si>
  <si>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ℹ️ Combustível sólido: por favor, selecione uma unidade de medida entre Gg, t, Kg e g</t>
  </si>
  <si>
    <t>▪ Unidade de medida do Conversor de Energia:</t>
  </si>
  <si>
    <t>▪ Unidade de medida do Conversor de Volume:</t>
  </si>
  <si>
    <t>3. Por fim, na célula D5 deve constar a unidade de medida de interesse.</t>
  </si>
  <si>
    <t>2. De seguida, na célula B6, pode ser inserido o valor da massa.</t>
  </si>
  <si>
    <t>1. Na célula B5 da tabela relacionada com a Unidade de medição do Conversor de Massa deve ser inserida a Unidade de medição para converter.</t>
  </si>
  <si>
    <t>2. Na célula B9 selecione a Unidade de medida utilizada.</t>
  </si>
  <si>
    <t>1. Na célula A9 selecione o combustível utilizado, procurando-o ou deslocando-se para baixo na lista exibida e clicando na célula.</t>
  </si>
  <si>
    <t>5. Na célula E9 é exibido o estado típico de renovabilidade para o combustível selecionado.</t>
  </si>
  <si>
    <t>6. Na célula F9 é exibida a Energia produzida em Megawatts-hora pela Quantidade de Combustível especificada</t>
  </si>
  <si>
    <t>7. Em A28 é apresentada a Energia Total em Megawatt-hora</t>
  </si>
  <si>
    <t>8. Na célula A31 está exibida a Energia Renovável Total em Mega Watt horas</t>
  </si>
  <si>
    <t>9. Na célula B31 é exibido o Total de Energia Não Renovável em Mega Watt hora</t>
  </si>
  <si>
    <t>10. Processamento dos Produtos Vendidos</t>
  </si>
  <si>
    <t>12. Tratamento de Fim de Vida dos Produtos Vendidos</t>
  </si>
  <si>
    <t>· C4 – Riscos climáticos</t>
  </si>
  <si>
    <t>· B11 — Condenações e multas por corrupção e suborno</t>
  </si>
  <si>
    <t>· B9 — Mão-de-obra — Saúde e segurança</t>
  </si>
  <si>
    <t>· B8 – Força de trabalho – Características gerais</t>
  </si>
  <si>
    <r>
      <rPr>
        <b/>
        <sz val="11"/>
        <color theme="1"/>
        <rFont val="Aptos Narrow"/>
        <family val="2"/>
        <scheme val="minor"/>
      </rPr>
      <t xml:space="preserve">· </t>
    </r>
    <r>
      <rPr>
        <sz val="11"/>
        <color theme="1"/>
        <rFont val="Aptos Narrow"/>
        <family val="2"/>
        <scheme val="minor"/>
      </rPr>
      <t>B7 - Utilização dos recursos, economia circular e gestão de resíduos</t>
    </r>
  </si>
  <si>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</si>
  <si>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</si>
  <si>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</si>
  <si>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6. A empresa também pode carregar o relatório em repositórios públicos ou numa página web.</t>
  </si>
  <si>
    <t>· B1 — Base para a elaboração</t>
  </si>
  <si>
    <t>· B2 — Práticas, políticas e iniciativas futuras para a transição para uma economia mais sustentável</t>
  </si>
  <si>
    <t>· B3 — Energia e emissões de gases com efeito de estufa</t>
  </si>
  <si>
    <t>· B4 — Poluição do ar, da água e do solo</t>
  </si>
  <si>
    <t>· B5 — Biodiversidade</t>
  </si>
  <si>
    <t>· B6 – Água</t>
  </si>
  <si>
    <t>· Informações no relatório necessárias para XBRL</t>
  </si>
  <si>
    <t>Este relatório contém {{ ns.fact_count }} fatos XBRL ({{ facts | count }} fatos únicos).</t>
  </si>
  <si>
    <t>Niniejszy raport zawiera {{ ns.fact_count }} elementów XBRL ({{ facts | count }} unikalnych elementów).</t>
  </si>
  <si>
    <t>Portuguese - Reviewed translation by Portuguese Standard Setter</t>
  </si>
  <si>
    <t>Este informe contiene {{ ns.fact_count }} elementos XBRL ({{ facts | count }} elementos únicos).</t>
  </si>
  <si>
    <t>Šioje ataskaitoje yra {{ ns.fact_count }} XBRL elementų ({{ facts | count }} unikalių elementų).</t>
  </si>
  <si>
    <t>Elaborado de acordo com o modelo de Relato de Sustentabilidade Voluntário para as pequenas e médias 
empresas (VSME), divulgado pela Comissão Europeia em 30 de julho de 2025.</t>
  </si>
  <si>
    <t>5. Converta este modelo para um relatório Inline XBRL (ou XBRL-JSON, XBRL-CSV), utilizando el conversor online. Esteja atento à validação XBRL efetuada pelo validador.</t>
  </si>
  <si>
    <t>Rédito de determinadas atividades</t>
  </si>
  <si>
    <t>· C8 – Rédito de determinadas atividades e exclusão dos índices de referência da UE</t>
  </si>
  <si>
    <t>template_label_GHG_calculator</t>
  </si>
  <si>
    <t>ℹ️ Check EFRAG website for a non-exhaustive list of GHG calculators.</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</si>
  <si>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</si>
  <si>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</si>
  <si>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</si>
  <si>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Consulte el sitio web del EFRAG para obtener una lista no exhaustiva de calculadoras de GEI.</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</si>
  <si>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</si>
  <si>
    <t>4. Validate the data entered by checking the validation status. The report is considered incomplete or erroneous if the validation fails, which might result in an invalid XBRL report.</t>
  </si>
  <si>
    <t>B10 – Number of annual training hours per employee during the reporting period</t>
  </si>
  <si>
    <t>B10 – Vidutinis metinis mokymo valandų skaičius vienam darbuotojui ataskaitiniu laikotarpiu</t>
  </si>
  <si>
    <t>B10 – Średnia liczba godzin szkoleń w ciągu roku na pracownika w okresie sprawozdawczym</t>
  </si>
  <si>
    <t>B10 – Número médio de horas de formação anual por trabalhador durante o período de relato</t>
  </si>
  <si>
    <t>B10 – Número de horas anuales de formación por empleado durante el período de información</t>
  </si>
  <si>
    <t>German - Reviewed translation by German Standard Setter</t>
  </si>
  <si>
    <t>Unternehmensname</t>
  </si>
  <si>
    <t>Unternehmenskennung (ID)</t>
  </si>
  <si>
    <t>System zur Unternehmenskennung</t>
  </si>
  <si>
    <t>Berichtswährung</t>
  </si>
  <si>
    <t>Dezimaltrennzeichen</t>
  </si>
  <si>
    <t xml:space="preserve">Berichtszeitraum
</t>
  </si>
  <si>
    <t>Bericht erstellt</t>
  </si>
  <si>
    <t>Alle Angaben beziehen sich auf den oben genannten Berichtszeitraum, sofern nicht anders angegeben.</t>
  </si>
  <si>
    <t>Inhaltsverzeichnis</t>
  </si>
  <si>
    <t>Berichtszeitraum:</t>
  </si>
  <si>
    <t>Dieser Bericht enthält {{ ns.fact_count }} XBRL facts ({{ facts | count }} unique facts).</t>
  </si>
  <si>
    <t>Veröffentlichungsdatum:</t>
  </si>
  <si>
    <t>Taxonomie-Zugangspunkt (entry point)</t>
  </si>
  <si>
    <t>Sprachauswahl:</t>
  </si>
  <si>
    <t>Überschrift des Berichts</t>
  </si>
  <si>
    <t>Nachhaltigkeitsbericht</t>
  </si>
  <si>
    <t>Untertitel des Berichts</t>
  </si>
  <si>
    <t>Erstellt gemäß dem Standard für die freiwillige Nachhaltigkeitsberichterstattung kleiner und mittlerer 
Unternehmen (VSME), veröffentlicht durch die Europäische Kommission am 30. Juli 2025.</t>
  </si>
  <si>
    <t>Digitale VSME-Vorlage</t>
  </si>
  <si>
    <t xml:space="preserve">Der Zweck dieser digitalen Vorlage besteht darin, zu veranschaulichen, wie die VSME-Berichterstattung in einer digitalen Vorlage implementiert werden kann. Die Vorlage spiegelt die am 30. Juli 2025 von der Europäischen Kommission veröffentlichte VSME-Empfehlung wider. Die Vorlage wird von einer digitalen VSME-XBRL-Taxonomie begleitet, die das digitale Datenmodell zu den Angaben darstellt und auf der Website von EFRAG verfügbar ist. Der VSME verlangt die Angabe von Vergleichsinformationen zu Kennzahlen (Absatz 12). Diese VSME-Vorlage ermöglicht die Berichterstattung  für nur einen Berichtszeitraum, daher kann sie möglicherweise nur im ersten Berichtsjahr verwendet werden. Es wird erwartet, dass Berichterstattungslösungen die Fortschreibung von Berichtszeiträumen ermöglichen, was automatisch die notwendigen Vergleichsinformationen bereitstellen würde.
Diese VSME-Vorlage kann für die Dateneingabe und Validierung verwendet werden. Durch die Nutzung eines XBRL-Konverters auf der Website von EFRAG kann sie als XBRL-Bericht in einem freien und offenen Datenformat gespeichert werden. Excel-benannte Bereiche werden verwendet, um die Angaben zu extrahieren. Wertzellen, die leer sind und keinen Wert enthalten (weder Text noch Zahl), werden bei der Verwendung des Excel-zu-XBRL-Konverters als nicht berichtet betrachtet und nicht in den XBRL-Bericht aufgenommen.
Einige Dropdown-Auswahlmenüs in der digitalen VSME-Vorlage enthalten mehr als 100 Einträge (z. B. die NACE-Codes unter B1, die Liste der Schadstoffe unter B4, die Liste der Abfälle unter B7). Um in der Liste zu suchen, können Nutzer einfach Suchbegriffe in die Zelle eingeben.
Wenn eine Sicherheitswarnung angezeigt wird, klicken Sie bitte auf "Inhalt aktivieren", um die automatische Berechnung der GPS-Koordinaten für die Liste der Standorte unter B1 zu ermöglichen. Es werden keine anderen Inhalte als die eingegebene Adresse ins Internet gesendet, und der mit dem Anbieter geteilte Inhalt ist in der Nutzungsrichtlinie von Nominatim (Geocoding-Richtlinie) und der Datenschutzrichtlinie einsehbar.
Alle vom EFRAG-Sekretariat entwickelten Materialien werden kostenlos und als Open Source (MIT-Lizenz) bereitgestellt, was es Interessenträgern ermöglicht, diese weiter zu verbessern und in kommerzielle Lösungen zu integrieren. Dabei muss unter Beachtung der Lizenzbedingungen auf EFRAG verwiesen werden. Die MIT-Lizenz kann im entsprechenden Excel-Arbeitsblatt eingesehen werden.
Wenn Sie ein Problem mit der digitalen VSME-Vorlage oder dem "Digital Template to XBRL Converter" melden möchten, tun Sie dies bitte, indem Sie ein "Issue" im GitHub-Projekt erstellen. </t>
  </si>
  <si>
    <t>Anleitung:</t>
  </si>
  <si>
    <t>0. Geben Sie die Informationen an, die für die Erstellung des VSME- und XBRL-Berichts verpflichtend anzugeben sind.</t>
  </si>
  <si>
    <t>1. Tragen Sie die Angaben in den vier Excel-Arbeitsblättern (General Information, Environmental Disclosures, Social Disclosures, Governance Disclosures) in die weißen, schwarz umrandeten Zellen ein. Tragen Sie keine Informationen außerhalb dieser Zellen ein. Die Suche in Dropdown-Listen kann durch Eingabe eines Suchbegriffs in die Zelle erfolgen. Hinweise zur Eingabe werden in mehreren Zellen angezeigt, sobald die entsprechende Zelle ausgewählt wird.</t>
  </si>
  <si>
    <t>2. Weitere Informationen zu den tatsächlichen Angabepflichten finden sich im VSME-Standard sowie über die in den Zellen verlinkten Leitlinien. Zusätzliche oder unternehmensspezifische Angaben können in einem Textfeld am Ende jedes Excel-Arbeitsblatts gemacht werden.</t>
  </si>
  <si>
    <t>3. Für offene Tabellen wie die Liste der Tochterunternehmen/Standorte bitte die Gruppen durch Klicken auf das Pluszeichen [+] links erweitern. Falls weitere Zeilen benötigt werden, können diese zwischen der ersten und letzten Zeile eingefügt werden. Die Zeilen-IDs in offenen Tabellen müssen je Tabelle einzigartig bleiben.</t>
  </si>
  <si>
    <t xml:space="preserve">4. Eingegebene Daten können über den Validierungsstatus überprüft werden. Wenn die Validierung fehlschlägt, gilt der Bericht als unvollständig oder fehlerhaft. Dies kann zu einem ungültigen XBRL-Bericht führen. 
</t>
  </si>
  <si>
    <t>5. Konvertieren Sie diese VSME-Vorlage mit dem Online-Konverter in einen Inline-XBRL-Bericht (oder XBRL-JSON, XBRL-CSV). Achten Sie auf die vom Validator durchgeführte XBRL-Validierung.</t>
  </si>
  <si>
    <t xml:space="preserve">6. Das Unternehmen kann den Bericht auch in öffentlichen Archiven oder auf einer Webseite hochladen. </t>
  </si>
  <si>
    <t>Die Hintergrundfarben der Zellen haben folgende Bedeutungen:</t>
  </si>
  <si>
    <t>Allgemeine Grundsätze</t>
  </si>
  <si>
    <t>Bedeutet, dass die Angabe sich auf die allgemeinen Grundsätze des VSME bezieht.</t>
  </si>
  <si>
    <t>Basismodul</t>
  </si>
  <si>
    <t>Bedeutet, dass die Angabe aus dem VSME-Basismodul stammt.</t>
  </si>
  <si>
    <t>Zusatzmodul</t>
  </si>
  <si>
    <t>Bedeutet, dass die Angabe aus dem VSME-Zusatzmodul stammt.</t>
  </si>
  <si>
    <t>Bedeutet, dass die Zelle automatisch berechnet wird und keine Dateneingabe erforderlich ist.</t>
  </si>
  <si>
    <t>Bedeutet, dass der Datenpunkt (oft eine Bedingung) nicht im VSME- und digitalen XBRL-Bericht enthalten sein wird. Diese Zellen dienen zur Erleichterung der Vervollständigung der Angabe, da sie entweder die Bedingungen für die Angabe ("falls zutreffend") auslösen oder die automatische Berechnung der Angabe ermöglichen. Wenn die gelben Zellen nicht zur Berechnung eines Wertes verwendet werden, kann die anzugebende Gesamtsumme durch manuelles Überschreiben der Formel eingegeben werden.</t>
  </si>
  <si>
    <t>Bedeutet, dass keine Dateneingabe erforderlich ist, es sei denn, bestimmte Logiken (z.B. "falls zutreffend") werden in der Angabe selbst ausgewählt. Wenn eine dieser Logiken ausgewählt wird, wird diese Zelle weiß.</t>
  </si>
  <si>
    <t>Validierung FEHLENDER WERT/FEHLER/INKONSISTENTER WERT/UNGÜLTIGE URL</t>
  </si>
  <si>
    <t>Bedeutet, dass entweder die Dateneingabe im Hinblick auf das Format fehlerhaft ist oder dass bestimmte Informationen fehlen, um die Angabe korrekt zu erfassen.</t>
  </si>
  <si>
    <t>Validierung OK</t>
  </si>
  <si>
    <t>Bedeutet, dass die Dateneingabe in Ordnung ist und das Unternehmen mit der nächsten Angabe fortfahren kann.</t>
  </si>
  <si>
    <t>In diese Zelle kann kein Wert eingegeben werden.</t>
  </si>
  <si>
    <t>Listen können mit der Plus [+] Taste links erweitert werden. Wenn die Anzahl der Zeilen nicht ausreicht, können weitere Zeilen hinzugefügt werden, indem man mit der rechten Maustaste auf die zweite Zeile klickt und „Zeile einfügen“ auswählt.</t>
  </si>
  <si>
    <t xml:space="preserve">EFRAG wird von der Europäischen Union im Rahmen des Binnenmarktprogramms finanziert, an dem auch die EWR-EFTA-Länder (Norwegen, Island und Liechtenstein) sowie Kosovo teilnehmen. Die geäußerten Ansichten und Meinungen sind jedoch ausschließlich die der Autor(en) und spiegeln nicht notwendigerweise die der Europäischen Union, der Europäischen Kommission oder der an dem Binnenmarktprogramm teilnehmenden Länder wider. Weder die Europäische Union, die Europäische Kommission noch die an dem Binnenmarktprogramm teilnehmenden Länder können hierfür verantwortlich gemacht werden. © 2025 EFRAG Alle Rechte vorbehalten. 
</t>
  </si>
  <si>
    <t xml:space="preserve">Die Vervielfältigungs- und Nutzungsrechte sind streng begrenzt. Für weitere Informationen wenden Sie sich bitte an efragsecretariat@efrag.org
</t>
  </si>
  <si>
    <t>Gesamtstatus der Validierung</t>
  </si>
  <si>
    <t>Die Gruppierung der Inhalte folgt dem Aufbau der VSME-Vorlage</t>
  </si>
  <si>
    <t>Spezifischer Validierungsstatus des Inhalts</t>
  </si>
  <si>
    <t xml:space="preserve">Allgemeine Informationen
</t>
  </si>
  <si>
    <t>· Informationen über den Bericht, die für XBRL erforderlich sind</t>
  </si>
  <si>
    <t>· Informationen zum vorherigen Berichtszeitraum</t>
  </si>
  <si>
    <t>· B1 - Grundlagen für die Erstellung</t>
  </si>
  <si>
    <t>Grundlagen für die Erstellung und weitere allgemeine Informationen des Unternehmens</t>
  </si>
  <si>
    <t>Liste der Tochterunternehmen</t>
  </si>
  <si>
    <t>Nachweis über nachhaltigkeitsbezogene Zertifizierungen oder sonstige nachhaltigkeitsbezogene Siegel</t>
  </si>
  <si>
    <t>Liste der Standorte</t>
  </si>
  <si>
    <t>· B2 - Verfahrensweisen, Richtlinien und künftige Initiativen für den Übergang zu einer nachhaltigeren Wirtschaft</t>
  </si>
  <si>
    <t>Verfahrensweisen, Richtlinien und künftige Initiativen für den Übergang zu einer nachhaltigeren Wirtschaft</t>
  </si>
  <si>
    <t>Genossenschaftsspezifische Angaben</t>
  </si>
  <si>
    <t>Umweltangaben</t>
  </si>
  <si>
    <t>· B3 - Energie und Treibhausgasemissionen</t>
  </si>
  <si>
    <t>Gesamtenergieverbrauch (in MWh)</t>
  </si>
  <si>
    <t>Aufschlüsselung des Energieverbrauchs (in MWh)</t>
  </si>
  <si>
    <t>Geschätzte Treibhausgasemissionen unter Berücksichtigung des THG-Protokolls (GHG Protocol, Corporate Standard) Version 2004  (in tCO2e)</t>
  </si>
  <si>
    <t>Treibhausgas-Emissionsintensität im Verhältnis zu den Umsatzerlösen</t>
  </si>
  <si>
    <t>· B4 - Luft-, Wasser- und Bodenverschmutzung</t>
  </si>
  <si>
    <t>· B5 - Biodiversität</t>
  </si>
  <si>
    <t>Standorte in Gebieten mit schutzbedürftiger Biodiversität</t>
  </si>
  <si>
    <t>Biodiversität – Flächennutzung</t>
  </si>
  <si>
    <t>· B6 - Wasser</t>
  </si>
  <si>
    <t>Wasserentnahme</t>
  </si>
  <si>
    <t>Wasserverbrauch</t>
  </si>
  <si>
    <t>· B7 - Ressourcennutzung, Kreislaufwirtschaft und Abfallwirtschaft</t>
  </si>
  <si>
    <t>Beschreibung der Grundsätze der Kreislaufwirtschaft</t>
  </si>
  <si>
    <t>Abfallaufkommen</t>
  </si>
  <si>
    <t>Jährlicher Massenstrom der verwendeten relevanten Materialien</t>
  </si>
  <si>
    <t>Sozialangaben</t>
  </si>
  <si>
    <t>· B8 - Arbeitskräfte – Allgemeine Merkmale</t>
  </si>
  <si>
    <t>Art des (Arbeits-)Vertrags</t>
  </si>
  <si>
    <t>Geschlecht</t>
  </si>
  <si>
    <t>Land des Arbeitsvertrags</t>
  </si>
  <si>
    <t>Fluktuationsrate</t>
  </si>
  <si>
    <t>· B9 - Arbeitskräfte – Gesundheitsschutz und Sicherheit</t>
  </si>
  <si>
    <t>· B10 - Arbeitskräfte – Vergütung, Tarif-/Kollektivverhandlungen und Schulung</t>
  </si>
  <si>
    <t>Governance-Angaben</t>
  </si>
  <si>
    <t>· B11 - Verurteilungen und Geldstrafen wegen Korruption und Bestechung</t>
  </si>
  <si>
    <t>· C1 - Strategie: Geschäftsmodell und Nachhaltigkeit – Zugehörige Initiativen</t>
  </si>
  <si>
    <t>· C2 - Beschreibung von Verfahrensweisen, Richtlinien und künftigen Initiativen für den Übergang zu einer nachhaltigeren Wirtschaft</t>
  </si>
  <si>
    <t>· C3 - THG-Reduktionsziele und Übergang für den Klimaschutz</t>
  </si>
  <si>
    <t>THG-Reduktionsziele (in tCO2e)</t>
  </si>
  <si>
    <t>Angabe der wesentlichen Maßnahmen, die das Unternehmen zur Erreichung seiner Ziele durchzuführen beabsichtigt</t>
  </si>
  <si>
    <t>Übergangsplan für Unternehmen, die in klimaintensiven Sektoren tätig sind</t>
  </si>
  <si>
    <t>· C4 - Klimabedingte Risiken</t>
  </si>
  <si>
    <t>· C5 - Zusätzliche (allgemeine) Merkmale der Arbeitskräfte</t>
  </si>
  <si>
    <t>· C6 - Zusätzliche Informationen über die Arbeitskräfte des Unternehmens – Richtlinien für die Achtung der Menschenrechte und diesbezügliche Prozesse</t>
  </si>
  <si>
    <t>· C7 - Schwerwiegende Vorfälle im Zusammenhang mit Menschenrechten</t>
  </si>
  <si>
    <t>· C8 - Umsatzerlöse aus bestimmten Tätigkeiten und Ausnahme von EU-Referenzwerten</t>
  </si>
  <si>
    <t>Umsatzerlöse aus bestimmten Tätigkeiten</t>
  </si>
  <si>
    <t>Ausschluss von EU-Referenzwerten</t>
  </si>
  <si>
    <t>· C9 - Geschlechtervielfalt im Leitungsorgan</t>
  </si>
  <si>
    <t>Zusätzliche Angaben</t>
  </si>
  <si>
    <t>· Angabe weiterer allgemeiner und/oder unternehmensspezifischer Informationen im Berichtszeitraum</t>
  </si>
  <si>
    <t>· Angabe weiterer umweltbezogener und/oder unternehmensspezifischer umweltbezogener Angaben</t>
  </si>
  <si>
    <t>· Angabe weiterer Sozial- und/oder unternehmensspezifischer Sozialangaben</t>
  </si>
  <si>
    <t>· Angabe weiterer Governance- und/oder unternehmensspezifischer Governance-Angaben</t>
  </si>
  <si>
    <t>Verweis auf Absatz/ Nummer</t>
  </si>
  <si>
    <t>Verweis auf Leitlinien-absatz/ -nummer</t>
  </si>
  <si>
    <t>vom</t>
  </si>
  <si>
    <t>bis</t>
  </si>
  <si>
    <t>zum</t>
  </si>
  <si>
    <t>[Immer anzugeben]</t>
  </si>
  <si>
    <t>[Falls zutreffend]</t>
  </si>
  <si>
    <t>[Kann (optional)]</t>
  </si>
  <si>
    <t>Kann (optional)</t>
  </si>
  <si>
    <t>[Immer anzugeben + falls zutreffend]</t>
  </si>
  <si>
    <t>[Falls angegeben mit B2 verknüpft]</t>
  </si>
  <si>
    <t>Betrag in</t>
  </si>
  <si>
    <t>Informationen über den Bericht, die für XBRL erforderlich sind</t>
  </si>
  <si>
    <t>Name des berichterstattenden Unternehmens</t>
  </si>
  <si>
    <t>Kennung des berichterstattenden Unternehmens (rechts auswählen und angeben)</t>
  </si>
  <si>
    <t>Währung der monetären Angaben im Bericht</t>
  </si>
  <si>
    <t>Beginn: Jahr</t>
  </si>
  <si>
    <t>Beginn: Monat</t>
  </si>
  <si>
    <t>Beginn: Tag</t>
  </si>
  <si>
    <t>Beginn des Berichtszeitraums (yyyy-mm-dd)</t>
  </si>
  <si>
    <t>Ende: Jahr</t>
  </si>
  <si>
    <t>Ende: Monat</t>
  </si>
  <si>
    <t>Ende: Tag</t>
  </si>
  <si>
    <t>Ende des Berichtszeitraums (yyyy-mm-dd)</t>
  </si>
  <si>
    <t>Informationen zum vorherigen Berichtszeitraum</t>
  </si>
  <si>
    <t xml:space="preserve">Dieser Bericht enthält Angaben, die sich gegenüber dem vorherigen Berichtszeitraum nicht verändert haben.
</t>
  </si>
  <si>
    <t>Liste der Angaben, für die im Vergleich zum vorherigen Berichtszeitraum keine Änderungen gemeldet werden</t>
  </si>
  <si>
    <t>Link zum vorherigen Bericht mit Angaben, die unverändert bleiben</t>
  </si>
  <si>
    <t>B1 – Grundlagen für die Erstellung und allgemeine Informationen zum Unternehmen</t>
  </si>
  <si>
    <t>Grundlagen für die Erstellung (Nur Basismodul oder Basismodul &amp; Zusatzmodul)</t>
  </si>
  <si>
    <t>Liste der weggelassenen Angaben, die als Verschlusssachen oder vertrauliche Informationen eingestuft werden</t>
  </si>
  <si>
    <t>Berichtsgrundlage (konsolidiert oder einzeln)</t>
  </si>
  <si>
    <t>Rechtsform des Unternehmens</t>
  </si>
  <si>
    <t>"Sonstige" Rechtsform des Unternehmens</t>
  </si>
  <si>
    <t>NACE-Code(s) zur Klassifikation der Wirtschaftszweige</t>
  </si>
  <si>
    <t>Bilanzsumme in</t>
  </si>
  <si>
    <t>Umsatzerlöse in</t>
  </si>
  <si>
    <t>Anzahl der Beschäftigten</t>
  </si>
  <si>
    <t>Art der Zählung von Beschäftigten (am Ende des Berichtszeitraums oder als Durchschnitt während des Berichtszeitraums)</t>
  </si>
  <si>
    <t>Art der Zählung von Beschäftigten (Beschäftigtenzahl oder Vollzeitäquivalente)</t>
  </si>
  <si>
    <t>Land der Hauptgeschäftstätigkeit und Standort des/der wesentlichen Vermögenswerte(s)</t>
  </si>
  <si>
    <t>B1 - Liste der Tochterunternehmen</t>
  </si>
  <si>
    <t>Nr.</t>
  </si>
  <si>
    <t>eingetragene Adresse (=offizielle Anschrift des Unternehmens)</t>
  </si>
  <si>
    <t>B1 - Angabe von nachhaltigkeitsbezogenen Zertifizierung(en) oder Siegel(n)</t>
  </si>
  <si>
    <t>Hat das Unternehmen nachhaltigkeitsbezogene Zertifizierung(en) oder Siegel erhalten?</t>
  </si>
  <si>
    <t>Beschreibung der nachhaltigkeitsbezogenen Zertifizierung(en) oder des/der Siegel(s), einschließlich, falls relevant, unter Angabe der Aussteller der Zertifizierung oder des Siegels, des Datums und der entsprechenden Einstufung</t>
  </si>
  <si>
    <t>B1 - Liste der Standorte</t>
  </si>
  <si>
    <t>Adresse</t>
  </si>
  <si>
    <t>Postleitzahl</t>
  </si>
  <si>
    <t xml:space="preserve">Stadt
</t>
  </si>
  <si>
    <t>Land</t>
  </si>
  <si>
    <t>GPS-Koordinaten (Geoposition)</t>
  </si>
  <si>
    <t>Automatische Geolokalisierung: Durch das Aktivieren der automatischen Geolokalisierung von OpenStreetMaps mit dem untenstehenden Kontrollkästchen erklärt das Unternehmen, die Nutzungsbedingungen von Nominatim und die Datenschutzerklärung ("Privacy Policy") vollständig zu kennen und zu akzeptieren. 
Bei OpenStreetMap® handelt es sich um offene Daten, lizenziert unter der Open Data Commons Open Database License (ODbL) der OpenStreetMap Foundation (OSMF). Alle Daten gehören OpenStreetMap®.</t>
  </si>
  <si>
    <t>B2 – Verfahrensweisen, Richtlinien und künftige Initiativen für den Übergang zu einer nachhaltigeren Wirtschaft</t>
  </si>
  <si>
    <t>Hat das Unternehmen spezifische Verfahrensweisen, Richtlinien oder künftige Initiativen für den Übergang zu einer nachhaltigeren Wirtschaft eingeführt?</t>
  </si>
  <si>
    <t>Nachhaltigkeitsaspekte, die durch eine Verfahrensweise, Richtlinie und/oder künftige Initiativen, die das Unternehmen eingeführt hat, adressiert werden</t>
  </si>
  <si>
    <t>Das Unternehmen verfügt über eine Verfahrensweise, Richtlinie und/oder eine zukünftige Initiative, die öffentlich verfügbar ist.</t>
  </si>
  <si>
    <t>Das Unternehmen hat ein Ziel festgelegt, das mit einer Richtlinie zusammenhängt.</t>
  </si>
  <si>
    <t>Klimawandel</t>
  </si>
  <si>
    <t>Umweltverschmutzung</t>
  </si>
  <si>
    <t>Wasser- und Meeresressourcen</t>
  </si>
  <si>
    <t>Biodiversität und Ökosysteme</t>
  </si>
  <si>
    <t>Kreislaufwirtschaft</t>
  </si>
  <si>
    <t>Eigene Arbeitskräfte</t>
  </si>
  <si>
    <t>Arbeitskräfte in der Wertschöpfungskette</t>
  </si>
  <si>
    <t>Betroffene Gemeinschaften</t>
  </si>
  <si>
    <t>Verbraucher und Endnutzer</t>
  </si>
  <si>
    <t>Unternehmenspolitik</t>
  </si>
  <si>
    <t>B2 - Genossenschaftsspezifische Angaben</t>
  </si>
  <si>
    <t>Die wirksame Beteiligung von Arbeitskräften, Nutzern oder anderen interessierten Parteien oder Gemeinschaften an der Governance</t>
  </si>
  <si>
    <t>Die finanzielle Investition in das Kapital oder die Vermögenswerte sozialwirtschaftlicher Einrichtungen, auf die sich die Empfehlung des Rates vom 29. September 2023 bezieht (ausgenommen Spenden und Zuwendungen)</t>
  </si>
  <si>
    <t>Beschränkungen der Gewinnausschüttung im Zusammenhang mit dem gegenseitigen Charakter oder der Art der Tätigkeiten, die in Dienstleistungen von allgemeinem wirtschaftlichem Interesse (DAWI) bestehen</t>
  </si>
  <si>
    <t>C2 – Beschreibung von Verfahrensweisen, Richtlinien und künftigen Initiativen für den Übergang zu einer nachhaltigeren Wirtschaft</t>
  </si>
  <si>
    <t>Beschreibung einer Verfahrensweisen, Richtlinie und/oder zukünftigen Initiative für eine nachhaltigere Zukunft (falls die Unternehmensleitlinie oder zukünftige Initiative Lieferanten oder Kunden umfasst, ist dies durch das Unternehmen anzugeben)</t>
  </si>
  <si>
    <t>Beschreibung des auf eine Richtlinie bezogenen Ziels</t>
  </si>
  <si>
    <t>Höchste Personalebene, die für die Umsetzung der Richtlinien verantwortlich ist, sofern im Unternehmen Festlegungen dazu bestehen.</t>
  </si>
  <si>
    <t>C1 – Strategie: Geschäftsmodell und Nachhaltigkeit – Zugehörige Initiativen</t>
  </si>
  <si>
    <t>Beschreibung bedeutender Gruppen von angebotenen Produkten und/oder Dienstleistungen</t>
  </si>
  <si>
    <t>Beschreibung des bedeutenden Marktes bzw. der bedeutenden Märkte, auf denen das Unternehmen tätig ist (z.B. B2B, Großhandel, Einzelhandel, Länder)</t>
  </si>
  <si>
    <t>Beschreibung der wesentlichen Geschäftsbeziehungen (z.B.  zentrale Lieferanten, Kunden, Vertriebskanäle)</t>
  </si>
  <si>
    <t>Enthält die Strategie Kernelemente, die Nachhaltigkeitsaspekte betreffen oder beeinflussen?</t>
  </si>
  <si>
    <t>Beschreibung jener Kernelemente in der Strategie, die Nachhaltigkeitsaspekte betreffen oder beeinflussen</t>
  </si>
  <si>
    <t>Angabe weiterer allgemeiner und/oder unternehmensspezifischer Informationen zum Berichtszeitraum</t>
  </si>
  <si>
    <t>B3 – Gesamtenergieverbrauch (in MWh)</t>
  </si>
  <si>
    <t>Gesamtenergieverbrauch</t>
  </si>
  <si>
    <t>B3 - Aufschlüsselung des Energieverbrauchs (in MWh)</t>
  </si>
  <si>
    <t>Hat das Unternehmen die notwendigen Informationen beschaffen können, um eine Aufschlüsselung des Energieverbrauchs bereitzustellen?</t>
  </si>
  <si>
    <t>Erneuerbar</t>
  </si>
  <si>
    <t>Nicht erneuerbar</t>
  </si>
  <si>
    <t>Gesamte erneuerbare und nicht erneuerbare Energie</t>
  </si>
  <si>
    <t>Strom (wie in den Rechnungen der Versorgungsunternehmen angegeben)</t>
  </si>
  <si>
    <t>Selbst erzeugter Strom</t>
  </si>
  <si>
    <t>Brennstoffe (siehe Brennstoffumrechner im Arbeitsblatt Brennstoffe)</t>
  </si>
  <si>
    <t>B3 - Geschätzte Treibhausgasemissionen gemäß des THG-Protokolls Version 2004 (in tCO2e)</t>
  </si>
  <si>
    <t>C3 – THG-Reduktionsziele (in tCO2e)</t>
  </si>
  <si>
    <t>Hat das Unternehmen Ziele zur Reduktion der THG-Emissionen festgelegt?</t>
  </si>
  <si>
    <t>Aktueller Berichtszeitraum</t>
  </si>
  <si>
    <t>Basisjahr</t>
  </si>
  <si>
    <t>Zieljahr</t>
  </si>
  <si>
    <t>Prozentuale Reduktion gegenüber dem Basisjahr</t>
  </si>
  <si>
    <t>Jahr (Datum)</t>
  </si>
  <si>
    <t>Scope 1-Brutto-Treibhausgasemissionen</t>
  </si>
  <si>
    <t>Standortbezogene Scope 2-Brutto-Treibhausgasemissionen</t>
  </si>
  <si>
    <t>Marktbasierte Scope 2-Brutto-Treibhausgasemissionen</t>
  </si>
  <si>
    <t>Gesamte Scope 1- und Scope 2-Treibhausgasemissionen (standortbezogen)</t>
  </si>
  <si>
    <t>Gesamte Scope 1- und Scope 2-Treibhausgasemissionen (marktbasiert)</t>
  </si>
  <si>
    <t>Macht das Unternehmen unternehmensspezifische Angaben zu Scope 3-Emissionen (in tCO2e)?</t>
  </si>
  <si>
    <t>1. Eingekaufte Waren und Dienstleistungen</t>
  </si>
  <si>
    <t>2. Investitionsgüter</t>
  </si>
  <si>
    <t>3. Brennstoff- und energiebezogene Tätigkeiten (nicht in Scope 1 oder Scope 2 enthalten)</t>
  </si>
  <si>
    <t>4. Vorgelageter Transport und Vertrieb</t>
  </si>
  <si>
    <t>5. Im Rahmen der Geschäftstätigkeiten anfallender Abfall</t>
  </si>
  <si>
    <t>6. Geschäftsreisen</t>
  </si>
  <si>
    <t>7. Pendeln der Arbeitskräfte</t>
  </si>
  <si>
    <t>8. Vorgelagerte Leasinggüter</t>
  </si>
  <si>
    <t>9. Nachgelagerter Transport und Vertrieb</t>
  </si>
  <si>
    <t>10. Verarbeitung verkaufter Produkte</t>
  </si>
  <si>
    <t>11. Verwendung verkaufter Produkte</t>
  </si>
  <si>
    <t>12. Behandlung verkaufter Produkte am Ende der Lebensdauer</t>
  </si>
  <si>
    <t>13. Nachgelagerte Leasinggüter</t>
  </si>
  <si>
    <t>15. Investitionen</t>
  </si>
  <si>
    <t>Gesamte Scope 3-Treibhausgasemissionen</t>
  </si>
  <si>
    <t>Gesamte Scope 1-, Scope 2- und Scope 3-Treibhausgasemissionen (standortbezogen)</t>
  </si>
  <si>
    <t>Gesamte Scope 1-, Scope 2- und Scope 3-Treibhausgasemissionen (marktbasiert)</t>
  </si>
  <si>
    <t>C3 – Angabe der wesentlichen Maßnahmen, die das Unternehmen zur Erreichung seiner Ziele durchzuführen beabsichtigt</t>
  </si>
  <si>
    <t>C3 – Übergangsplan für Unternehmen, die in klimaintensiven Sektoren tätig sind</t>
  </si>
  <si>
    <t>Ist das Unternehmen in klimaintensiven Sektoren tätig?</t>
  </si>
  <si>
    <t>Status der Umsetzung eines Übergangsplans zur Minderung des Klimawandels</t>
  </si>
  <si>
    <t>Beschreibung eines Übergangsplans für den Klimaschutz, einschließlich einer Erläuterung, wie dieser dazu beiträgt, die THG-Emissionen zu verringern</t>
  </si>
  <si>
    <t>Datum der vorgesehenen Annahme des Übergangsplans für Unternehmen, die noch keinen Übergangsplan angenommen haben</t>
  </si>
  <si>
    <t>Jahr</t>
  </si>
  <si>
    <t>Monat</t>
  </si>
  <si>
    <t>Tag</t>
  </si>
  <si>
    <t>B3 - Treibhausgas-Emissionsintensität bezogen auf Umsatzerlöse (in tCO2e)</t>
  </si>
  <si>
    <t>Scope 1- und Scope 2-THG-Emissionsintensität (standortbezogen)</t>
  </si>
  <si>
    <t>Scope 1- und Scope 2-THG-Emissionsintensität (marktbasiert)</t>
  </si>
  <si>
    <t>Gesamte Scope 1-, Scope 2- und Scope-3-THG-Emissionsintensität (standortbezogen)</t>
  </si>
  <si>
    <t>Gesamte Scope 1-, Scope 2- und Scope-3-THG-Emissionsintensität (marktbasiert)</t>
  </si>
  <si>
    <t>B4 – Luft-, Wasser- und Bodenverschmutzung</t>
  </si>
  <si>
    <t>Ist das Unternehmen aufgrund rechtlicher oder sonstiger nationaler Vorschriften bereits verpflichtet, den zuständigen Behörden seine Schadstoffemissionen zu melden, oder meldet es diese bereits freiwillig im Rahmen eines Umweltmanagementsystems?</t>
  </si>
  <si>
    <t>Wurde diese Angabe bereits an anderer Stelle öffentlich verfügbar gemacht?</t>
  </si>
  <si>
    <t>Bitte geben Sie den entsprechenden URL-Link oder Hyperlink an, unter dem diese Informationen berichtet werden.</t>
  </si>
  <si>
    <t>Bitte wählen Sie die Einheit aus, die für die Mengenangabe verwendet wird (d. h. entweder kg oder Tonne).</t>
  </si>
  <si>
    <t>Zeilen-Nr.</t>
  </si>
  <si>
    <t>Schadstoff</t>
  </si>
  <si>
    <t>Emissionen in die Luft</t>
  </si>
  <si>
    <t>Emissionen in Wasser und Gewässer</t>
  </si>
  <si>
    <t>Emissionen in den Boden</t>
  </si>
  <si>
    <t xml:space="preserve">B5 – Gebiete mit schutzbedürftiger Biodiversität </t>
  </si>
  <si>
    <t>Hat das Unternehmen Standorte, die sich in oder in der Nähe von Gebieten mit schutzbedürftiger Biodiversität befinden?</t>
  </si>
  <si>
    <t>Bitte wählen Sie die Einheit aus, die für die Flächenangabe verwendet wird (d.h. entweder Hektar oder m²):</t>
  </si>
  <si>
    <t>Zugehörige Standort-Nr. (wählen Sie eine Nr. aus einem in B1 angegebenen Standort aus)</t>
  </si>
  <si>
    <t>Standort in der Nähe eines Gebiets mit schutzbedürftiger Biodiversität – automatisch ausgefüllt aus B1</t>
  </si>
  <si>
    <t>Fläche (Hektar oder m², basierend auf der obigen Auswahl)</t>
  </si>
  <si>
    <t>Standort in einem Gebiet mit schutzbedürftiger Biodiversität</t>
  </si>
  <si>
    <t>Standort in der Nähe eines Gebiets mit schutzbedürftiger Biodiversität</t>
  </si>
  <si>
    <t>B5 – Biodiversität – Flächennutzung</t>
  </si>
  <si>
    <t>Art der Flächennutzung</t>
  </si>
  <si>
    <t>Fläche</t>
  </si>
  <si>
    <t>Gesamte versiegelte Fläche</t>
  </si>
  <si>
    <t>Gesamte naturnahe Fläche am Standort</t>
  </si>
  <si>
    <t>Gesamte naturnahe Fläche abseits des Standorts</t>
  </si>
  <si>
    <t>Gesamter Flächenverbrauch</t>
  </si>
  <si>
    <t>B6 – Wasserentnahme</t>
  </si>
  <si>
    <t>Gesamtmenge des aus allen Standorten entnommenen Wassers (Kubikmeter m³)</t>
  </si>
  <si>
    <t>Menge des an Standorten in Gebieten mit hohem Wasserstress entnommenen Wassers (Kubikmeter m³)</t>
  </si>
  <si>
    <t>B6 – Wasserverbrauch</t>
  </si>
  <si>
    <t>Wendet das Unternehmen Produktionsverfahren mit einem erheblichen Wasserverbrauch an (z. B. thermische Energieprozesse wie Trocknung oder Stromerzeugung, Herstellung von Waren, landwirtschaftliche Bewässerung usw.)?</t>
  </si>
  <si>
    <t>Wasserableitung aus den Produktionsprozessen des Unternehmens (Kubikmeter m³)</t>
  </si>
  <si>
    <t>Gesamtwasserverbrauch (Kubikmeter m³)</t>
  </si>
  <si>
    <t>B7 – Beschreibung der Grundsätze der Kreislaufwirtschaft</t>
  </si>
  <si>
    <t xml:space="preserve">Das Unternehmen wendet Grundsätze der Kreislaufwirtschaft an. </t>
  </si>
  <si>
    <t>Beschreibung, wie diese Grundsätze angewendet werden</t>
  </si>
  <si>
    <t>B7 – Abfallaufkommen</t>
  </si>
  <si>
    <t>Abfallart</t>
  </si>
  <si>
    <t>Maßeinheit</t>
  </si>
  <si>
    <t>Abfälle, die zum Recycling oder zur Wiederverwendung umgeleitet werden</t>
  </si>
  <si>
    <t>Abfälle, die der Beseitigung zugeführt werden</t>
  </si>
  <si>
    <t>Abfallmenge, das recycelt, wiederverwendet und der Beseitigung zugeführt wird</t>
  </si>
  <si>
    <t>Gesamtmenge gefährlicher Abfälle (Masse/Gewicht)</t>
  </si>
  <si>
    <t>Gesamtabfallmenge oder Abfallmenge gesamt</t>
  </si>
  <si>
    <t>Gesamtaufkommen nicht gefährlicher Abfälle (Masse/Gewicht)</t>
  </si>
  <si>
    <t>Gesamtabfallaufkommen (Masse/Gewicht)</t>
  </si>
  <si>
    <t>Gesamtaufkommen gefährlicher Abfälle (Volumen)</t>
  </si>
  <si>
    <t>Kubikmeter (m³)</t>
  </si>
  <si>
    <t>Gesamtaufkommen nicht gefährlicher Abfälle (Volumen)</t>
  </si>
  <si>
    <t>Gesamtabfallaufkommen (Volumen)</t>
  </si>
  <si>
    <t>B7 – Jährlicher Massenstrom der verwendeten relevanten Materialien</t>
  </si>
  <si>
    <t>Operiert das Unternehmen in einem Wirtschaftszweig mit erheblichen Materialflüssen (zum Beispiel verarbeitendes Gewerbe/Hertsellung von Waren, Baugewerbe/Bau, Abfüllen/Verpacken oder andere)?</t>
  </si>
  <si>
    <t>Name der relevanten Materialien</t>
  </si>
  <si>
    <t>Masse / Volumen</t>
  </si>
  <si>
    <t>Gesamter jährlicher Massenstrom der verwendeten relevanten Materialien (Masse in kg)</t>
  </si>
  <si>
    <t>Kilogramm (kg)</t>
  </si>
  <si>
    <t>Gesamter jährlicher Massenstrom der verwendeten relevanten Materialien (Volumen in m³)</t>
  </si>
  <si>
    <t>C4 – Klimabedingte Risiken</t>
  </si>
  <si>
    <t>Hat das Unternehmen klimabedingte Gefahren und klimabedingte Übergangsereignisse ermittelt, aus denen sich bei Bruttobetrachtung klimabedingte Risiken für das Unternehmen ergeben?</t>
  </si>
  <si>
    <t>Beschreibung der klimabedingten Gefahren und klimabedingten Übergangsereignisse</t>
  </si>
  <si>
    <t>Angabe, wie das Unternehmen die Exposition und Anfälligkeit seiner Vermögenswerte, Tätigkeiten und Wertschöpfungskette gegenüber diesen Gefahren und Übergangsereignissen bewertet hat</t>
  </si>
  <si>
    <t>Zeithorizonte etwaiger ermittelter klimabedingter Gefahren und Übergangsereignisse</t>
  </si>
  <si>
    <t>Angabe, ob Maßnahmen zur Anpassung an den Klimawandel für klimabedingte Gefahren und Übergangsereignisse ergriffen wurden</t>
  </si>
  <si>
    <t>Potenziell nachteilige Auswirkungen von klimabedingten Risiken, die die finanzielle Leistungsfähigkeit oder Geschäftstätigkeit des Unternehmens kurz-, mittel- oder langfristig beeinträchtigen können, unter der Angabe, ob die Risiken als hoch, mittel oder niedrig eingeschätzt werden.</t>
  </si>
  <si>
    <t>Angabe weiterer umweltbezogener und/oder unternehmensspezifischer umweltbezogener Angaben</t>
  </si>
  <si>
    <t>Art der Zählung von Beschäftigten für die nachstehenden Angaben (Beschäftigtenzahl oder Vollzeitäquivalente, verknüpft mit B1)</t>
  </si>
  <si>
    <t>Art der Zählung von Beschäftigten für die nachstehenden Angaben (Am Ende des Berichtszeitraums oder als Durchschnitt über den Berichtszeitraum, verknüpft aus B1)</t>
  </si>
  <si>
    <t>B8 – Arbeitskräfte – Allgemeine Merkmale – Art des Arbeitsvertrags</t>
  </si>
  <si>
    <t>Art des Vertrags</t>
  </si>
  <si>
    <t>Unbefristeter Vertrag</t>
  </si>
  <si>
    <t>Befristeter Vertrag</t>
  </si>
  <si>
    <t>Beschäftigte insgesamt (verknüpft mit B1)</t>
  </si>
  <si>
    <t>B8 – Belegschaft – Allgemeine Merkmale – Geschlecht</t>
  </si>
  <si>
    <t>Männlich</t>
  </si>
  <si>
    <t>Weiblich</t>
  </si>
  <si>
    <t>Andere</t>
  </si>
  <si>
    <t>Nicht angegeben</t>
  </si>
  <si>
    <t>Arbeitskräfte – Allgemeine Merkmale – Beschäftigungsland</t>
  </si>
  <si>
    <t>Hat das Unternehmen Geschäftstätigkeiten in mehr als einem Land?</t>
  </si>
  <si>
    <t>B8 – Arbeitskräfte – Allgemeine Merkmale – Fluktuationsrate</t>
  </si>
  <si>
    <t>Anzahl der Beschäftigten, die während des Berichtszeitraums aus dem Unternehmen ausgeschieden sind</t>
  </si>
  <si>
    <t>Anzahl der Beschäftigten zu Beginn des Berichtszeitraums</t>
  </si>
  <si>
    <t>Anzahl der Beschäftigten am Ende des Berichtszeitraums</t>
  </si>
  <si>
    <t>Fluktuationsrate der Beschäftigten [%] im Berichtszeitraum</t>
  </si>
  <si>
    <t>B9 – Arbeitskräfte – Gesundheitsschutz und Sicherheit</t>
  </si>
  <si>
    <t>Anzahl der meldepflichtigen Arbeitsunfälle im Berichtszeitraum</t>
  </si>
  <si>
    <t>Anzahl der von einem Vollzeitbeschäftigten im Berichtszeitraum geleisteten Arbeitsstunden</t>
  </si>
  <si>
    <t>Gesamtanzahl der von allen Beschäftigten im Berichtszeitraum in einem Jahr geleisteten Arbeitsstunden</t>
  </si>
  <si>
    <t>Quote der meldepflichtigen Arbeitsunfälle im Berichtszeitraum</t>
  </si>
  <si>
    <t>Zahl der Todesfälle infolge arbeitsbedingter Verletzungen und arbeitsbedingter Erkrankungen</t>
  </si>
  <si>
    <t>B10 – Arbeitskräfte – Vergütung, Tarif-/Kollektivverhandlungen und Schulung</t>
  </si>
  <si>
    <t>Beschäftigte erhalten eine Vergütung, die dem durch nationales Recht oder Tarifvertrag/Kollektivvertrag festgelegten Mindestlohn entspricht oder darüber liegt.</t>
  </si>
  <si>
    <t>Durchschnittliches Bruttostundenentgelt der männlichen Beschäftigten</t>
  </si>
  <si>
    <t>Durchschnittliches Bruttostundenentgelt der weiblichen Beschäftigten</t>
  </si>
  <si>
    <t>Prozentuales Entgeltgefälle zwischen den weiblichen und männlichen Beschäftigten des Unternehmens [%]</t>
  </si>
  <si>
    <t>Anzahl der Beschäftigten, die durch Tarif-/Kollektivverträge abgedeckt sind</t>
  </si>
  <si>
    <t>Prozentsatz der Beschäftigten, die durch Tarif-/Kollektivverträge abgedeckt sind [%]</t>
  </si>
  <si>
    <t>Durchschnittliche Anzahl der jährlichen Schulungsstunden je Beschäftigtem</t>
  </si>
  <si>
    <t>C5 – Zusätzliche (allgemeine) Merkmale der Arbeitskräfte</t>
  </si>
  <si>
    <t>Anzahl männlicher Beschäftigter auf Führungsebene</t>
  </si>
  <si>
    <t>Anzahl weiblicher Beschäftigter auf Führungsebene</t>
  </si>
  <si>
    <t>Verhältnis weiblicher zu männlicher Beschäftiger auf Führungsebene im Berichtszeitraum</t>
  </si>
  <si>
    <t>Gesamtanzahl der Selbstständigen, die ausschließlich für das Unternehmen tätig sind und kein eigenes Personal haben</t>
  </si>
  <si>
    <t>Gesamtanzahl der Zeitarbeitskräfte, die von Unternehmen bereitgestellt werden, die in erster Linie im Bereich der Vermittlung und Überlassung von Arbeitskräften tätig sind</t>
  </si>
  <si>
    <t>C6 – Zusätzliche Informationen über die Arbeitskräfte des Unternehmens – Richtlinien für die Achtung der Menschenrechte und diesbezügliche Prozesse</t>
  </si>
  <si>
    <t>Verfügt das Unternehmen über einen Verhaltenskodex oder Richtlinien für die Achtung der Menschenrechte bei seinen eigenen Arbeitskräften?</t>
  </si>
  <si>
    <t>Falls ja, sind folgende Aspekte abgedeckt:</t>
  </si>
  <si>
    <t>· Kinderarbeit</t>
  </si>
  <si>
    <t>· Zwangsarbeit</t>
  </si>
  <si>
    <t>· Menschenhandel</t>
  </si>
  <si>
    <t>· Diskriminierung</t>
  </si>
  <si>
    <t>· Unfallverhütung</t>
  </si>
  <si>
    <t>· Sonstige? (JA/NEIN – falls ja, ausführen)</t>
  </si>
  <si>
    <t>Führen Sie sonstige Inhalte an, die vom Verhaltenskodex oder von Richtlinien für die Achtung der Menschenrechte abgedeckt sind</t>
  </si>
  <si>
    <t>Verfügt das Unternehmen über ein Verfahren zur Bearbeitung von Beschwerden der eigenen Arbeitskräfte?</t>
  </si>
  <si>
    <t>C7 –   Schwerwiegende Vorfälle im Zusammenhang mit Menschenrechten</t>
  </si>
  <si>
    <t>Sind unter den Arbeitskräften des Unternehmens bestätigte Vorfälle im Zusammenhang mit Menschenrechten aufgetreten?</t>
  </si>
  <si>
    <t>Falls ja, beziehen sich die Vorfälle auf:</t>
  </si>
  <si>
    <t>Geben Sie sonstige im Zusammenhang mit den bestätigten Vorfällen stehende Menschenrechte an</t>
  </si>
  <si>
    <t>Beschreibung der Maßnahmen zur Behebung der bestätigten Vorfälle</t>
  </si>
  <si>
    <t xml:space="preserve">	
Sind dem Unternehmen bestätigte Vorfälle bekannt, an denen Arbeitskräfte in der Wertschöpfungskette, betroffene Gemeinschaften, Verbraucher und Endnutzer beteiligt sind? Falls ja, sind Einzelheiten in der nächsten Zeile anzugeben.</t>
  </si>
  <si>
    <t>Erläuterung von bestätigten Vorfällen, an denen Arbeitskräfte in der Wertschöpfungskette, betroffene Gemeinschaften, Verbraucher und Endnutzer beteiligt sind</t>
  </si>
  <si>
    <t>Angabe weiterer Sozial- und/oder unternehmensspezifischer Sozialangaben</t>
  </si>
  <si>
    <t>B11 – Verurteilungen und Geldstrafen wegen Korruption und Bestechung</t>
  </si>
  <si>
    <t>Sind gegen das Unternehmen im Berichtszeitraum Verurteilungen erfolgt oder Geldstrafen verhängt worden?</t>
  </si>
  <si>
    <t>Gesamtzahl der Verurteilungen wegen Verstößen gegen Rechtsvorschriften zur Bekämpfung von Korruption und Bestechung</t>
  </si>
  <si>
    <t>Gesamtbetrag der Geldstrafen wegen Verstößen gegen Rechtsvorschriften zur Bekämpfung von Korruption und Bestechung</t>
  </si>
  <si>
    <t>C8 – Umsatzerlöse aus bestimmten Tätigkeiten</t>
  </si>
  <si>
    <t>Erzielt das Unternehmen Umsatzerlöse aus einer der unten aufgeführten Tätigkeiten?</t>
  </si>
  <si>
    <t>Umsatzerlöse aus umstrittenen Waffen (Antipersonenminen, Streumunition, chemische und biologische Waffen)</t>
  </si>
  <si>
    <t>Umsatzerlöse aus dem Anbau und der Produktion von Tabak</t>
  </si>
  <si>
    <t>Umsatzerlöse aus Kohle</t>
  </si>
  <si>
    <t>Umsatzerlöse aus Erdöl</t>
  </si>
  <si>
    <t>Umsatzerlöse aus Erdgas</t>
  </si>
  <si>
    <t>Gesamtumsatzerlöse aus dem Sektor der fossilen Brennstoffe wie Kohle, Erdöl und Erdgas  (d. h. das Unternehmen erzielt Umsatzerlöse aus der Exploration, Förderung, Gewinnung, Herstellung, Verarbeitung, Lagerung, Raffination oder dem Vertrieb, einschließlich Transport, Lagerung und Handel, von fossilen Brennstoffen im Sinne des Artikels 2 Nummer 62 der Verordnung (EU) 2018/1999 des Europäischen Parlaments und des Rates</t>
  </si>
  <si>
    <t>Umsatzerlöse aus der Herstellung von Chemikalien</t>
  </si>
  <si>
    <t>C8 –  Ausnahme von EU-Referenzwerten</t>
  </si>
  <si>
    <t>Unternehmen werden von den Paris-abgestimmten EU-Referenzwerten ausgeschlossen, wenn sie:</t>
  </si>
  <si>
    <t>1 % oder mehr ihrer Umsatzerlöse mit der Exploration, dem Abbau, der Förderung, dem Vertrieb oder der Veredelung von Stein- und Braunkohle erzielen</t>
  </si>
  <si>
    <t>10 % oder mehr ihrer Umsatzerlöse mit der Exploration, der Förderung, dem Vertrieb oder der Veredelung von Erdöl erzielen</t>
  </si>
  <si>
    <t>50 % oder mehr ihrer Umsatzerlöse mit der Exploration, der Förderung, der Herstellung oder dem Vertrieb von gasförmigen Brennstoffen erzielen</t>
  </si>
  <si>
    <t>50 % oder mehr ihrer Umsatzerlöse mit der Stromerzeugung mit einer THG-Emissionsintensität von mehr als 100 g CO2eq/kWh erzielen</t>
  </si>
  <si>
    <t>Keine der oben genannten</t>
  </si>
  <si>
    <t>Unternehmen sind von allen EU-Referenzwerten, die mit dem Pariser Abkommen in Einklang stehen, ausgeschlossen.</t>
  </si>
  <si>
    <t>C9 – Geschlechtervielfalt im Leitungsorgan</t>
  </si>
  <si>
    <t>Verfügt das Unternehmen über ein Leitungsorgan?</t>
  </si>
  <si>
    <t>Anzahl der weiblichen Mitglieder im Leitungsorgan am Ende des Berichtszeitraums</t>
  </si>
  <si>
    <t>Anzahl der männlichen Mitglieder im Leitungsorgan am Ende des Berichtszeitraums</t>
  </si>
  <si>
    <t>Geschlechterverhältnis im Leitungsorgan</t>
  </si>
  <si>
    <t>Angabe weiterer Governance- und/oder unternehmensspezifischer Governance-Angaben</t>
  </si>
  <si>
    <t>Brennstoffumrechner</t>
  </si>
  <si>
    <t>HAFTUNGSAUSSCHLUSS:</t>
  </si>
  <si>
    <t>Dieser Umrechner dient ausschließlich zur Veranschaulichung, wie der Energieverbrauch (in MWh) aus verschiedenen Brennstoffarten berechnet werden kann. EFRAG übernimmt keine Verantwortung oder Haftung für den Inhalt oder für direkte, indirekte oder zufällige Folgen oder Schäden, die aus der Nutzung dieses Brennstoffumrechners resultieren.</t>
  </si>
  <si>
    <t>Bitte beachten Sie, dass für jeden Brennstofftyp die typischen Werte für den Nettoheizwert (Net Calorific Value; NCV) und die Dichte angegeben werden. Diese Parameter können jedoch je nach Faktoren wie nationalen Vorschriften, spezifischen Eigenschaften der Brennstoffanbieter oder anderen Umständen variieren. Daher wird von den Nutzern erwartet, dass sie die NCV- und Dichtewerte manuell eingeben oder anpassen, um ihre spezifische Situation widerzuspiegeln.</t>
  </si>
  <si>
    <t>Zusätzlich werden die Nutzer ermutigt, die Erneuerbarkeit jedes Brennstoffs auf der Grundlage von Herkunftsnachweisen gemäß Artikel 19 der Europäischen Richtlinie 2018/2001/EG zur Förderung der Nutzung von Energie aus erneuerbaren Quellen zu bestimmen. Die standardmäßige Erneuerbarkeit für jeden Brennstoff ist eine typische Annahme und sollte gegebenenfalls basierend auf geografischen oder individuellen Umständen angepasst werden.</t>
  </si>
  <si>
    <t>Bedeutet, dass die Zelle entweder durch Auswahl eines Wertes aus dem Dropdown-Menü (z. B. Brennstoffart oder Maßeinheit) oder durch Eingabe eines Betrags ausgefüllt werden soll.</t>
  </si>
  <si>
    <t>Brennstofftyp</t>
  </si>
  <si>
    <t>Betrag</t>
  </si>
  <si>
    <t>Aggregatzustand</t>
  </si>
  <si>
    <t>Typische Erneuerbarkeit</t>
  </si>
  <si>
    <t>Berechnete Energie in MWh</t>
  </si>
  <si>
    <t>Verwendung des Brennstoffumrechners:</t>
  </si>
  <si>
    <t>1. Wählen Sie in Zelle A9 den verwendeten Brennstoff aus, indem Sie danach suchen oder in der angezeigten Liste nach unten scrollen und die Zelle anklicken.</t>
  </si>
  <si>
    <t>2. Wählen Sie in Zelle B9 die verwendete Maßeinheit aus.</t>
  </si>
  <si>
    <t>3. Wählen Sie in Zelle C9 die genutzte Brennstoffmenge aus.</t>
  </si>
  <si>
    <t xml:space="preserve">4. In Zelle D9 wird der Aggregatzustand des ausgewählten Brennstoffs angezeigt. </t>
  </si>
  <si>
    <t>5. In Zelle E9 wird die typischeErneuerbarkeit für den ausgewählten Brennstoff angezeigt.</t>
  </si>
  <si>
    <t>6. In Zelle F9 wird die in Megawattstunden erzeugte Energie basierend auf der angegebenen Brennstoffmenge angezeigt.</t>
  </si>
  <si>
    <t>7. In Zelle A28 wird der Gesamtenergieverbrauch in Megawattstunden angezeigt.</t>
  </si>
  <si>
    <t>8. In Zelle A31 wird die gesamte erneuerbare Energie in Megawattstunden angezeigt.</t>
  </si>
  <si>
    <t xml:space="preserve">In Zelle B31 wird die gesamte nicht erneuerbare Energie in Megawattstunden angezeigt. </t>
  </si>
  <si>
    <t>10. Weitere Anmerkungen siehe unten</t>
  </si>
  <si>
    <t>Übertragen Sie die berechneten Gesamtergebnisse in die Berichts-Zelle B3 „Brennstoffenergieverbrauch“</t>
  </si>
  <si>
    <t>Gesamtenergie [MWh]</t>
  </si>
  <si>
    <t>Gesamte erneuerbare Energien [MWh]</t>
  </si>
  <si>
    <t>Gesamte nicht erneuerbare Energien [MWh]</t>
  </si>
  <si>
    <t>Weitere Hinweise:</t>
  </si>
  <si>
    <t>Der Umrechner bietet die Möglichkeit, gleichzeitig bis zu 10 verschiedene Brennstoffarten zu berechnen. Bitte erweitern Sie dazu die ausgeblendeten Spalten mit dem Plus-Symbol oben im Dokument. Jeder ausgeklappte Brennstoffumrechner funktioniert genau wie oben beschrieben.
Es ist wichtig zu beachten, dass die automatische Berechnung durch den Brennstoffumrechner mit unteren Heizwerten (NCVs) und Dichten erfolgt, die typisch für den jeweiligen Brennstofftyp sind. Wenn das Unternehmen in der Lage ist, die spezifischen unteren Heizwerte und Dichten der verwendeten Brennstoffe bereitzustellen, besteht die Möglichkeit, den Energieverbrauch pro Stunde in MWh zu berechnen, indem die spezifischen Werte in die Formeln eingefügt werden, die im Tabellenblatt des Brennstoffumrechners automatisiert sind.
Unten finden Sie die Formeln, falls eine nicht automatisierte Berechnung mit spezifischen Werten dem Umrechner vorgezogen wird. Wenn Sie die Maßeinheit Ihrer spezifischen Messungen umrechnen müssen, verwenden Sie bitte den Einheitenumrechner.</t>
  </si>
  <si>
    <t>Energieverbrauch pro Stunde in MWh für feste Brennstoffe:</t>
  </si>
  <si>
    <t>Energie [MWh] = Masse [t] * NCV [MWh/t]</t>
  </si>
  <si>
    <t>Energieverbrauch pro Stunde in MWh für flüssige Brennstoffe:</t>
  </si>
  <si>
    <t>Masse [t] = Volumen [L] * Dichte [t/L]</t>
  </si>
  <si>
    <t xml:space="preserve">Energie [MWh] = Masse [t] * NCV [MWh/t] </t>
  </si>
  <si>
    <t>Energieverbrauch pro Stunde in MWh für gasförmige Brennstoffe:</t>
  </si>
  <si>
    <t>Masse [t] = Volumen [m³] * Dichte [t/m³]</t>
  </si>
  <si>
    <t>EINHEITENUMRECHNER</t>
  </si>
  <si>
    <t>Von</t>
  </si>
  <si>
    <t>Maßeinheit des Massenumrechners</t>
  </si>
  <si>
    <t>Maßeinheit des Volumenumrechners</t>
  </si>
  <si>
    <t>Maßeinheit des Energieverbrauchs pro Stunde</t>
  </si>
  <si>
    <t>Maßeinheit des NCV-Umrechners</t>
  </si>
  <si>
    <t>Maßeinheit des Dichteumrechners</t>
  </si>
  <si>
    <t>Nutzung des Einheitenumrechners</t>
  </si>
  <si>
    <t>Schritte zur Nutzung der Massentabelle:</t>
  </si>
  <si>
    <t>1. In Zelle B5 des Tabellenblatts mit dem Einheitenumrechner wird die umzuwandelnde Maßeinheit für die Masse eingetragen.</t>
  </si>
  <si>
    <t>2. Dann wird in Zelle B6 die Masse eingetragen.</t>
  </si>
  <si>
    <t>3. Abschließend wird in Zelle D5 die gewünschte Maßeinheit für die Masse eingetragen.</t>
  </si>
  <si>
    <t>4. Das Ergebnis der Umrechnung wird in Zelle D6 angezeigt.</t>
  </si>
  <si>
    <t>Die Schritte für die anderen Tabellen (Volumen, Energieverbrauch, Dichte und NCV) entsprechen den Schritten für die Massentabelle.</t>
  </si>
  <si>
    <t>Nachfolgend sind alle Maßeinheiten der Tabellen für die Einheitenumrechnung angegeben.</t>
  </si>
  <si>
    <t>UNVOLLSTÄNDIG</t>
  </si>
  <si>
    <t xml:space="preserve">VOLLSTÄNDIG
</t>
  </si>
  <si>
    <t>FEHLENDER WERT</t>
  </si>
  <si>
    <t>FEHLER</t>
  </si>
  <si>
    <t>INKONSISTENTER WERT</t>
  </si>
  <si>
    <t>FEHLER + INKONSISTENTER WERT</t>
  </si>
  <si>
    <t>FEHLER + FEHLENDER WERT + INKONSISTENTER WERT</t>
  </si>
  <si>
    <t>FEHLER + FEHLENDER WERT</t>
  </si>
  <si>
    <t>FEHLENDER WERT + INKONSISTENTER WERT</t>
  </si>
  <si>
    <t>UNGÜLTIGE URL</t>
  </si>
  <si>
    <t>ℹ️ Flüssiger Brennstoff: Bitte wählen Sie eine Maßeinheit aus m³ und L aus</t>
  </si>
  <si>
    <t>ℹ️ Feste Brennstoffe: Bitte wählen Sie eine Maßeinheit aus Gg, t, Kg und g aus</t>
  </si>
  <si>
    <t>ℹ️ Gasförmige Brennstoffe: Bitte wählen Sie eine Maßeinheit aus m³ und L aus</t>
  </si>
  <si>
    <t>ℹ️ Die Unternehmenskennung ist eine eindeutige ID, die es ermöglicht, das Unternehmen zu identifizieren, das die Informationen berichtet hat. Der VSME-Standard verlangt keine spezifische Kennung. Für die digitale Berichterstattung ist jedoch eine Kennung des Unternehmens erforderlich.</t>
  </si>
  <si>
    <t xml:space="preserve">ℹ️ Wenn rechts die Meldung INKONSISTENTER WERT erscheint, stellen Sie bitte sicher, dass das Enddatum des Berichtszeitraums chronologisch nach dem Anfangsdatum liegt.
</t>
  </si>
  <si>
    <t>ℹ️ Listen können mit dem kleinen [+]-Button auf der linken Seite ausgeklappt werden. Wenn die Anzahl der Zeilen nicht ausreicht, können weitere hinzugefügt werden, indem in die zweite Zeile mit der rechten Maustaste geklickt und „Zeile einfügen“ ausgewählt wird.</t>
  </si>
  <si>
    <t xml:space="preserve">ℹ️ Wenn „sonstige“ als Rechtsform des Unternehmens gewählt wird, füllen Sie bitte die nachfolgende Zeile aus. </t>
  </si>
  <si>
    <t>ℹ️ Bitte wählen Sie einen NACE-Code anstelle einer Kategorie aus, da sonst die Meldung FEHLER erscheint.</t>
  </si>
  <si>
    <t>ℹ️ Bitte achten Sie darauf, jede Straßen- und Hausnummer mit dem Schrägstrich-Symbol "/" und nicht mit dem Komma "," zu trennen.</t>
  </si>
  <si>
    <t xml:space="preserve">ℹ️ Bitte beachten Sie, dass die in dieser Zelle vorhandene Formel überschrieben werden kann, falls das Unternehmen den Wert direkt angeben möchte. </t>
  </si>
  <si>
    <t xml:space="preserve">ℹ️ Die Scope 3-Kategorien gemäß THG-Protokoll können dabei helfen, die gesamten Scope 3-Treibhausgasmissionen zu berechnen. Falls das Unternehmen dies möchte, kann es die gesamten Scope 3-Treibhausgasemissionen direkt in der jeweiligen Zelle angeben. </t>
  </si>
  <si>
    <t>ℹ️ Wenn eine Überprüfung im Zusammenhang mit inkonsistenten Werten angezeigt wird, wählen Sie bitte eine Standort-Nr. aus, die sich von den zuvor ausgewählten unterscheidet.</t>
  </si>
  <si>
    <t>ℹ️ Bitte wählen Sie die Art des Abfalls (gefährlich oder nicht gefährlich) anstelle einer Kategorie, andernfalls erscheint die Meldung FEHLER.</t>
  </si>
  <si>
    <t>ℹ️ Bitte stellen Sie sicher, dass die Gesamtzahl der Beschäftigten mit der in Zelle E55 des Tabellenblatts „General Information“ angegebenen Zahl übereinstimmt.</t>
  </si>
  <si>
    <t xml:space="preserve">ℹ️ Das Unternehmen kann den Wert in diesem Feld ändern, da die Annahme von 2.000 Stunden darauf basiert, dass ein Vollzeitmitarbeiter 2.000 Stunden pro Jahr arbeitet. Dieser Wert kann je nach Land oder Wirtschaftszweig variieren, abhängig von nationalen Vorschriften oder Tarifvereinbarungen. </t>
  </si>
  <si>
    <t>ℹ️ Besuchen Sie die EFRAG-Website für eine nicht vollständige Liste der THG-Rechner.</t>
  </si>
  <si>
    <t>Virksomhedens navn</t>
  </si>
  <si>
    <t>Entitetsidentifikator</t>
  </si>
  <si>
    <t xml:space="preserve">Virksomhedsindentifikationsskema </t>
  </si>
  <si>
    <t>Rapporteringsvaluta</t>
  </si>
  <si>
    <t>Rapporteringsperiode</t>
  </si>
  <si>
    <t>Rapport genereret</t>
  </si>
  <si>
    <t>Alle oplysninger vedrører den ovenfor nævnte rapporteringsperiode, medmindre andet er angivet.</t>
  </si>
  <si>
    <t xml:space="preserve">Indholdsfortegnelse
</t>
  </si>
  <si>
    <t>Rapporteringsperiode:</t>
  </si>
  <si>
    <t>Denne rapport indeholder {{ ns.fact_count }} XBRL-fakta ({{ facts | count }} unikke fakta).</t>
  </si>
  <si>
    <t>Publikationsdato:</t>
  </si>
  <si>
    <t>Indgangspunkt til taksonomi:</t>
  </si>
  <si>
    <t>Vælg sprog for skabelonvisning:</t>
  </si>
  <si>
    <t xml:space="preserve">Rapportens hovedtitel </t>
  </si>
  <si>
    <t>Bæredygtighedsrapport</t>
  </si>
  <si>
    <t>Rapportens undertitel</t>
  </si>
  <si>
    <t>Udarbejdet i overensstemmelse med den frivillige standard for bæredygtighedsrapportering for ikke-børsnoterede SMV'er (VSME), udgivet af Europa-Kommissionen den 30. juli 2025.</t>
  </si>
  <si>
    <t>VSME Digital Skabelon</t>
  </si>
  <si>
    <t xml:space="preserve">Formålet med denne digitale skabelon er at illustrere, hvordan VSME-rapportering kan implementeres i en digital skabelon. Skabelonen afspejler VSME-anbefalingen som offentliggjort af Europa-Kommissionen den 30. juli 2025. Skabelonen ledsages af en digital VSME XBRL-taksonomi, som repræsenterer den digitale datamodel for oplysningskravene og er tilgængelig på EFRAGs hjemmeside. VSME kræver oplysning om sammenlignelige oplysninger om målepunkter (afsnit 12). Denne skabelon muliggør rapportering for én rapporteringsperiode alene. Derfor kan den muligvis kun anvendes til rapportering i det første år. Det forventes, at rapporteringsløsninger vil muliggøre 'roll-forward' af rapporteringsperioder, hvilket automatisk vil give de nødvendige sammenlignelige oplysninger.
Denne skabelon kan bruges til dataindtastning og validering. Ved brug af en XBRL-konverter på EFRAGs hjemmeside kan den gemmes som en XBRL-rapport i et frit og åbent dataformat. Excel-navngivne områder bruges til at udtrække oplysningerne. Værdiceller, der er tomme og ikke indeholder nogen værdi (hverken tekst eller tal), vil ikke blive betragtet som rapporteret og vil ikke blive inkluderet i XBRL-rapporten ved brug af Excel-til-XBRL-konverteren.
Nogle få rullemenuer i VSME har mere end 100 indtastninger (f.eks. NACE-koderne under B1, listen over forurenende stoffer under B4, listen over affald under B7). For at søge i listen kan brugere blot begynde at skrive søgeord i cellen.
Hvis der vises en sikkerhedsadvarsel, skal du venligst "Aktivere indhold" for at tillade automatisk beregning af GPS-koordinater for listen over lokaliteter under B1. Intet indhold udover den indtastede adresse vil blive sendt til internettet, og det delte indhold med udbyderen kan findes i Nominatim Brugspolitik (Geokodningspolitik) og Privatlivspolitik.
Alt materiale udviklet af EFRAG-sekretariatet frigives gratis og som open source (MIT-licens), hvilket muliggør for enhver interessent at videreudvikle det og integrere det i kommercielle løsninger. Dog skal henvisning til EFRAG nævnes af udbydere af sådanne kommercielle løsninger i overensstemmelse med licensbetingelserne. Det er muligt at konsultere MIT-licensen i det specifikke ark.
Hvis du ønsker at indberette et problem med VSME Digital Template eller Digital Template to XBRL Converter, bedes du gøre dette ved at oprette en sag i GitHub-projektet. 
</t>
  </si>
  <si>
    <t>Sådan bruges den:</t>
  </si>
  <si>
    <t>0. Indtast de obligatoriske oplysninger for at kunne generere VSME- og XBRL-rapport</t>
  </si>
  <si>
    <t xml:space="preserve">1. Udfyld oplysningerne i de fire ark (Generel information, Miljøoplysninger, Sociale oplysninger, Ledelsesoplysninger) i de hvide celler, der er indrammet med en sort kant. Indtast ikke oplysninger uden for disse celler. Det er muligt at søge i rullemenuerne ved at skrive i cellen. Tip (inputmeddelelser) vises i flere celler, når de vælges.
</t>
  </si>
  <si>
    <t>2. Find mere information om de faktiske oplysningskrav i VSME-standarden og den relaterede vejledning, der er knyttet til hver celle. Yderligere eller virksomheds-specifikke oplysninger kan gives i hver tekstboks i slutningen af hvert regneark.</t>
  </si>
  <si>
    <t xml:space="preserve">3. For åbne tabeller som 'Listen over subsidierere/site placeringer', udvid venligst grupperne ved at klikke på plus-ikonet [+] på venstre side. Hvis der er behov for flere rækker, kan de tilføjes ved at indsætte dem mellem den første og sidste række. Række-ID'er i åbne tabeller skal forblive unikke per tabel. </t>
  </si>
  <si>
    <t>4. Valider de indtastede data ved at kontrollere valideringsstatus. Rapporten betragtes som ufuldstændig eller fejlagtig, hvis valideringen fejler, hvilket kan resultere i en ugyldig XBRL-rapport.</t>
  </si>
  <si>
    <t>5. Konverter denne skabelon til en Inline XBRL-rapport (eller XBRL-JSON, XBRL-CSV) ved brug af denne online-konverter. Vær opmærksom på den XBRL-validering, der udføres af validatoren.</t>
  </si>
  <si>
    <t>6. Virksomheden kan også uploade rapporten til offentlige arkiver eller en webside.</t>
  </si>
  <si>
    <t>Farveindeks for cellebaggrund:</t>
  </si>
  <si>
    <t>Generelle principper</t>
  </si>
  <si>
    <t>Angiver, at oplysningerne stammer fra de generelle principper for VSME.</t>
  </si>
  <si>
    <t xml:space="preserve">Basismondul </t>
  </si>
  <si>
    <t>Angiver, at oplysningen stammer fra basismodulet i VSME.</t>
  </si>
  <si>
    <t>Udvidet modul</t>
  </si>
  <si>
    <t>Angiver, at oplysningen stammer fra det udvidede modul i VSME.</t>
  </si>
  <si>
    <t>Indikerer, at cellen automatisk beregnes, og at der ikke kræves nogen dataindtastning.</t>
  </si>
  <si>
    <t xml:space="preserve">Angiver, at datapunktet (ofte en betingelse) ikke vil blive inkluderet i VSME- og den digitale XBRL-rapport. Disse celler stilles til rådighed for at lette udfyldelsen af oplysningskravet, da de enten udløser anvendelsen af oplysningen eller muliggør automatisk beregning af oplysningen. Hvis de gule celler ikke bruges til at beregne en værdi, kan det samlede beløb, der skal rapporteres, indtastes manuelt og dermed overskrive formlen. </t>
  </si>
  <si>
    <t>Angiver, at dataindtastning ikke er nødvendig, medmindre visse logikker vælges i selve oplysningen. Når en af disse logikker vælges, bliver cellen hvid</t>
  </si>
  <si>
    <t>Validering MANGLENDE VÆRDI/FEJL/UOVERENSSTEMMELSE I VÆRDI/UGYLDIG URL</t>
  </si>
  <si>
    <t>Angiver, at dataindtastningen enten er forkert i forhold til format, eller at visse oplysninger mangler for at kunne rapportere korrekt.</t>
  </si>
  <si>
    <t>Validering OK</t>
  </si>
  <si>
    <t>Angiver, at dataindtastningen er korrekt, og virksomheden kan gå videre til næste oplysning.</t>
  </si>
  <si>
    <t>Der kan ikke indtastes nogen værdi i cellen.</t>
  </si>
  <si>
    <t>Lister kan udvides ved hjælp af plustegnet [+] til venstre. Hvis antallet af rækker ikke er tilstrækkeligt, kan der tilføjes ekstra rækker ved at højreklikke på anden række og vælge "Indsæt række".</t>
  </si>
  <si>
    <t>EFRAG finansieres af Den Europæiske Union gennem programmet for Det Indre Marked, som også omfatter EØS-EFTA-landene (Norge, Island og Liechtenstein) samt Kosovo. Enhver holdning og udtalelse, der kommer til udtryk, er dog udelukkende forfatternes og afspejler ikke nødvendigvis Den Europæiske Unions, Europa-Kommissionens eller de deltagende landes synspunkter. Hverken Den Europæiske Union, Europa-Kommissionen eller de deltagende lande kan gøres ansvarlige herfor.
© 2025 EFRAG. Alle rettigheder forbeholdes.</t>
  </si>
  <si>
    <t>Reproduktions- og brugsrettigheder er strengt begrænsede. For yderligere oplysninger bedes du kontakte efragsecretariat@efrag.org</t>
  </si>
  <si>
    <t>Samlet valideringsstatus</t>
  </si>
  <si>
    <t>Indholdsfortegnelse</t>
  </si>
  <si>
    <t>Gruppering af indhold følger skabelonens ramme</t>
  </si>
  <si>
    <t xml:space="preserve">Valideringsstatus for indhold </t>
  </si>
  <si>
    <t>Generel information</t>
  </si>
  <si>
    <t>· Oplysninger i rapporten, der er nødvendige for XBRL</t>
  </si>
  <si>
    <t>· Oplysninger om den foregående rapporteringsperiode</t>
  </si>
  <si>
    <t>· B1 – Grundlag for udarbejdelse</t>
  </si>
  <si>
    <t>Grundlag for udarbejdelse og andre generelle oplysninger om virksomheden</t>
  </si>
  <si>
    <t>Liste over datterselskaber</t>
  </si>
  <si>
    <t>Oplysning om ESG-certifikat(er) eller miljømærke(r)</t>
  </si>
  <si>
    <t>Liste over lokation(er)</t>
  </si>
  <si>
    <t>· B2 - Praksisser, politikker og fremtidige initiativer for omstilling til en mere bæredygtig økonomi</t>
  </si>
  <si>
    <t>Praksisser, politikker og fremtidige initiativer for omstilling til en mere bæredygtig økonomi</t>
  </si>
  <si>
    <t xml:space="preserve">   Særlige oplysninger for kooperative virksomheder </t>
  </si>
  <si>
    <t>Miljømæssige oplysninger</t>
  </si>
  <si>
    <t xml:space="preserve">· B3 - Energi og drivhusgasudledninger </t>
  </si>
  <si>
    <t>Samlet energiforbrug (i MWh)</t>
  </si>
  <si>
    <t>Fordeling af energiforbrug (i MWh)</t>
  </si>
  <si>
    <t>Anslåede drivhusgasudledninger under hensyntagen til GHG-protokollen version 2004 (i tCO2e)</t>
  </si>
  <si>
    <t>Drivhusgasudledning pr. omsætningsenhed</t>
  </si>
  <si>
    <t>· B4 – Forurening af luft, vand og jord</t>
  </si>
  <si>
    <t>· B5 – Biodiversitet</t>
  </si>
  <si>
    <t>Lokationer i biodiversitetsfølsomme områder</t>
  </si>
  <si>
    <t>Biodiversitet - Arealanvendelse</t>
  </si>
  <si>
    <t>· B6 – Vand</t>
  </si>
  <si>
    <t>Udtagning af vand</t>
  </si>
  <si>
    <t>Vandforbrug</t>
  </si>
  <si>
    <t>· B7 –   Ressourceforbrug, cirkulær økonomi og affaldshåndtering</t>
  </si>
  <si>
    <t>Beskrivelse af principper for cirkulær økonomi</t>
  </si>
  <si>
    <t xml:space="preserve">Genereret affald </t>
  </si>
  <si>
    <t>Årligt materialeflow af relevante anvendte materialer</t>
  </si>
  <si>
    <t>Sociale oplysninger</t>
  </si>
  <si>
    <t>· B8 - Arbejdsstyrke - Generelle karakteristika</t>
  </si>
  <si>
    <t>Kontrakttype</t>
  </si>
  <si>
    <t>Køn</t>
  </si>
  <si>
    <t>Land (hvor ansættelseskontrakten er indgået)</t>
  </si>
  <si>
    <t xml:space="preserve">Medarbejderomsætning </t>
  </si>
  <si>
    <t>· B9 – Arbejdsstyrke – Sundhed og sikkerhed</t>
  </si>
  <si>
    <t>· B10 - Arbejdsstyrke - Vederlag, kollektive overenskomster og uddannelse</t>
  </si>
  <si>
    <t>Ledelsesmæssige oplysninger</t>
  </si>
  <si>
    <t>· B11 – Domme og bøder for korruption og bestikkelse</t>
  </si>
  <si>
    <t xml:space="preserve">Udvidet Modul </t>
  </si>
  <si>
    <t xml:space="preserve">· C1 – Strategi: Forretningsmodel og bæredygtighedsrelaterede initiativer
</t>
  </si>
  <si>
    <t xml:space="preserve">· C2 - Beskrivelse af praksisser, politikker og fremtidige initiativer for omstillingen til en mere bæredygtig økonomi </t>
  </si>
  <si>
    <t>· C3 - Mål for reduktion af drivhusgasser og klimaomstilling</t>
  </si>
  <si>
    <t xml:space="preserve"> Mål for reduktion af drivhusgasudledning (i ton CO₂e) </t>
  </si>
  <si>
    <t xml:space="preserve">Liste over de vigtigste handlinger, som virksomheden implementerer for at nå CO₂e-reduktionsmålene </t>
  </si>
  <si>
    <t xml:space="preserve">  Omstillingsplan for virksomheder, der opererer i sektorer med høj klimapåvirkning</t>
  </si>
  <si>
    <t>· C4 - Klimarisici</t>
  </si>
  <si>
    <t>· C5 - Supplerende (generelle) oplysninger om arbejdsstyrken</t>
  </si>
  <si>
    <t>· C6 - Yderligere oplysninger om egen arbejdsstyrke - Politikker og processer vedrørende menneskerettigheder</t>
  </si>
  <si>
    <t>· C7 – Alvorlige negative menneskerettighedshændelser</t>
  </si>
  <si>
    <t xml:space="preserve">· C8 - Indtægter fra bestemte aktiviteter og udelukkelse fra EU-referencebenchmarks </t>
  </si>
  <si>
    <t xml:space="preserve">Indtægter fra bestemte aktiviteter </t>
  </si>
  <si>
    <t xml:space="preserve">Udelukkelse fra EUs referencebnechmarks </t>
  </si>
  <si>
    <t>· C9 – Kønsfordeling i ledelsesorganet</t>
  </si>
  <si>
    <t>Yderligere oplysninger</t>
  </si>
  <si>
    <t>· Oplysning om øvrige generelle og/eller virksomhedsspecifikke forhold i rapporteringsperioden</t>
  </si>
  <si>
    <t>· Oplysning om øvrige miljømæssige og/eller virksomhedsspecifikke miljøoplysninger</t>
  </si>
  <si>
    <t>· Oplysning om øvrige sociale og/eller virksomhedsspecifikke sociale oplysninger</t>
  </si>
  <si>
    <t>· Oplysning om øvrige ledelsesmæssige og/eller virksomhedsspecifikke ledelsesoplysninger</t>
  </si>
  <si>
    <t>Reference til paragraf</t>
  </si>
  <si>
    <t xml:space="preserve">Reference til paragrafvejledning </t>
  </si>
  <si>
    <t>fra</t>
  </si>
  <si>
    <t>til</t>
  </si>
  <si>
    <t xml:space="preserve">
Den</t>
  </si>
  <si>
    <t>[Skal altid rapporteres]</t>
  </si>
  <si>
    <t>[Hvis relevant]</t>
  </si>
  <si>
    <t>[Valgfri]</t>
  </si>
  <si>
    <t xml:space="preserve">Valgfri </t>
  </si>
  <si>
    <t>[Skal altid rapporteres + hvis relevant]</t>
  </si>
  <si>
    <t>[Hvis relevant tilkoblet med B2]</t>
  </si>
  <si>
    <t xml:space="preserve">
beløb i
</t>
  </si>
  <si>
    <t>Oplysninger i rapporten, der er nødvendige for XBRL</t>
  </si>
  <si>
    <t>Navn på den rapporterende virksomhed</t>
  </si>
  <si>
    <t>Identifikator for den rapporterende virksomhed (vælg og angiv til højre)</t>
  </si>
  <si>
    <t>Valuta for de monetære værdier i rapporten</t>
  </si>
  <si>
    <t>Startår</t>
  </si>
  <si>
    <t>Startmåned</t>
  </si>
  <si>
    <t>Startdato</t>
  </si>
  <si>
    <t>Rapporteringsperiodens startdato (åååå-mm-dd)</t>
  </si>
  <si>
    <t>Slutår</t>
  </si>
  <si>
    <t xml:space="preserve">Slutmåned
</t>
  </si>
  <si>
    <t>Slutdato</t>
  </si>
  <si>
    <t>Rapporteringsperiodens slutdato (åååå-mm-dd)</t>
  </si>
  <si>
    <t>Oplysninger om forrige rapporteringsperiode</t>
  </si>
  <si>
    <t>Denne rapport indeholder oplysninger fra den forrige rapporteringsperiode, som forbliver uændrede</t>
  </si>
  <si>
    <t>Liste over oplysninger, der ikke er ændret i forhold til forrige rapporteringsperiode</t>
  </si>
  <si>
    <t>Link til forrige rapport, som indeholder oplysninger, der forbliver uændrede</t>
  </si>
  <si>
    <t>B1 - Grundlag for udarbejdelse og øvrige generelle oplysninger om virksomheden</t>
  </si>
  <si>
    <t>Grundlag for udarbejdelse (Basismodul alene eller Basismodul &amp; Udvidet modul)</t>
  </si>
  <si>
    <t>Liste over udeladte oplysninger, der anses for at være klassificerede eller følsomme oplysninger</t>
  </si>
  <si>
    <t>Grundlag for udarbejdelse af bæredygtighedsrapport (individuelt grundlag eller konsolideret grundlag)</t>
  </si>
  <si>
    <t>Virksomhedens juridiske form</t>
  </si>
  <si>
    <t>Specifikation af anden juridisk form for virksomheden</t>
  </si>
  <si>
    <t>NACE sektor klassifikationskode(r)</t>
  </si>
  <si>
    <t xml:space="preserve">Balancens størrelse (samlede aktiver) i </t>
  </si>
  <si>
    <t>Omsætning (i)</t>
  </si>
  <si>
    <t>Antal ansatte</t>
  </si>
  <si>
    <t>Metode til optælling af ansatte (ved udgangen af rapporteringsperioden eller som gennemsnit for rapporteringsperioden)</t>
  </si>
  <si>
    <t>Metode til optælling af ansatte (antal personer eller fuldtidsækvivalenter)</t>
  </si>
  <si>
    <t>Land for primære aktiviteter og placering af væsentlige aktiver</t>
  </si>
  <si>
    <t>B1 - Liste over datterselskaber</t>
  </si>
  <si>
    <t>Navn</t>
  </si>
  <si>
    <t>Registreret adresse</t>
  </si>
  <si>
    <t>B1 - Oplysning om bæredygtighedsrelaterede certificeringer eller mærker</t>
  </si>
  <si>
    <t>Har virksomheden opnået nogen bæredygtighedsrelaterede certificering(er) eller mærke(r)?</t>
  </si>
  <si>
    <t>Beskrivelse af bæredygtighedsrelaterede certificeringer eller mærker (herunder, hvis det er relevant, udstederne af certificeringen eller mærket, dato og vurderingsscore)</t>
  </si>
  <si>
    <t>B1 - Liste over adresser og geolokation på væsentlige aktiver og anlæg, som virksomheden ejer, lejer eller forvalter</t>
  </si>
  <si>
    <t>Postnummer</t>
  </si>
  <si>
    <t>By</t>
  </si>
  <si>
    <t>GPS-koordinater (geolokation)</t>
  </si>
  <si>
    <t xml:space="preserve">Automatisk geolokalisering: Aktivering af OpenStreetMaps' automatiske geolokalisering med afkrydsningsfeltet nedenfor betyder, at virksomheden erklærer at være fuldt ud bekendt med og accepterer Nominatim Usage Policy og Privacy Policy.
OpenStreetMap® er åbne data licenseret under Open Data Commons Open Database License (ODbL) af OpenStreetMap Foundation (OSMF). Alle data tilhører og ejes af OpenStreetMap®.
</t>
  </si>
  <si>
    <t>B2 – Praksisser, politikker og fremtidige initiativer for omstilling til en mere bæredygtig økonomi</t>
  </si>
  <si>
    <t>Har virksomheden indført specifikke praksisser, politikker og/eller fremtidige initiativer til at støtte omstillingen mod en mere bæredygtig økonomi?</t>
  </si>
  <si>
    <t xml:space="preserve">Bæredygtighedsrelateret udfordring, der håndteres gennem en praksis, politik og/eller fremtidige initiativer, som virksomheden har indført </t>
  </si>
  <si>
    <t>Virksomheden har en indsats, politik og/eller et fremtidigt initiativ, der er offentligt tilgængeligt</t>
  </si>
  <si>
    <t>Virksomheden har fastsat et mål, der relaterer sig til en politik</t>
  </si>
  <si>
    <t>Klimaforandringer</t>
  </si>
  <si>
    <t xml:space="preserve">Forurening </t>
  </si>
  <si>
    <t>Vand- og havressourcer</t>
  </si>
  <si>
    <t>Biodiversitet og økosystemer</t>
  </si>
  <si>
    <t>Cirkulær økonomi</t>
  </si>
  <si>
    <t>Egen arbejdsstyrke</t>
  </si>
  <si>
    <t>Arbejdstagere i værdikæden</t>
  </si>
  <si>
    <t>Berørte samfund</t>
  </si>
  <si>
    <t>Forbrugere og slutbrugere</t>
  </si>
  <si>
    <t xml:space="preserve">Virksomhedsledelse </t>
  </si>
  <si>
    <t>B2 - Samarbejdsspecifikke oplysninger</t>
  </si>
  <si>
    <t>Effektiv deltagelse af arbejdstagere, brugere eller andre interesserede parter eller lokalsamfund i ledelsen</t>
  </si>
  <si>
    <t>Finansielle investeringer i kapital eller aktiver i sociale økonomi-enheder, jf. Rådets anbefaling af 29. september 2023 (eksklusive donationer og bidrag)</t>
  </si>
  <si>
    <t>Eventuelle begrænsninger i udbytteudlodning, der relaterer sig til den mutualistiske karakter eller til aktiviteter bestående i tjenester af almen økonomisk interesse (SGEI)</t>
  </si>
  <si>
    <t>C2 – Beskrivelse af praksisser, politikker og fremtidige initiativer for omstillingen til en mere bæredygtig økonomi</t>
  </si>
  <si>
    <t>Beskrivelse af en praksis, politik eller fremtidigt initiativ for omstillingen mod en mere bæredygtig økonomi
(I tilfælde hvor praksis/politik/fremtidigt initiativ omfatter leverandører eller kunder, skal virksomheden nævne dette)</t>
  </si>
  <si>
    <t xml:space="preserve">Beskrivelse af mål relateret til en politik
</t>
  </si>
  <si>
    <t xml:space="preserve">Det højeste ledelsesniveau blandt sine ansatte, der er ansvarligt for gennemførelsen af 
politikkerne, når dette er fastlagt af virksomheden </t>
  </si>
  <si>
    <t>C1 – Strategi: Forretningsmodel og bæredygtighedsrelaterede initiativer</t>
  </si>
  <si>
    <t>Beskrivelse af væsentlige grupper af produkter og/eller tjenesteydelser, som virksomheden tilbyder</t>
  </si>
  <si>
    <t>Beskrivelse af det eller de væsentlige markeder, som virksomheden operer på (f.eks. B2B, engros, detail, lande)</t>
  </si>
  <si>
    <t>Beskrivelse af de vigtigste forretningsforbindelser (f.eks. nøgleleverandører, kunder, distributionskanaler)</t>
  </si>
  <si>
    <t>Har strategien nøgleelementer, der relaterer til eller påvirker bæredygtighedsspørgsmål?</t>
  </si>
  <si>
    <t xml:space="preserve">Beskrivelse af de centrale elementer fra virksomhedens strategi, der vedrører eller påvirker bæredygtighedsspørgsmål </t>
  </si>
  <si>
    <t>Oplysning om enhver anden generel og/eller enhedsspecific information for rapporteringsperioden</t>
  </si>
  <si>
    <t>B3 – Samlet energiforbrug (i MWh)</t>
  </si>
  <si>
    <t>Samlet energiforbrug</t>
  </si>
  <si>
    <t>B3 – Opdeling af energiforbrug (i MWh)</t>
  </si>
  <si>
    <t>Har virksomheden indhentet de nødvendige oplysninger for at kunne opdele energiforbruget?</t>
  </si>
  <si>
    <t>Vedvarende</t>
  </si>
  <si>
    <t>Ikke-vedvarende</t>
  </si>
  <si>
    <t>Samlet vedvarende og ikke-vedvarende</t>
  </si>
  <si>
    <t>Elektricitet (som det fremgår af forbrugsregninger)</t>
  </si>
  <si>
    <t>Egenproduceret elektricitet</t>
  </si>
  <si>
    <t xml:space="preserve">Brændstoffer (se brændstofs-konverteringen i brændstof-fanen) </t>
  </si>
  <si>
    <t>B3 - Anslåede drivhusgasudledninger under hensyntagen til GHG-protokollen version 2004 (i tCO2e)</t>
  </si>
  <si>
    <t>C3 – Mål for reduktion af drivhusgasudledninger (i tCO2e)</t>
  </si>
  <si>
    <t>Har virksomheden fastsat mål for reduktion af drivhusgasudledninger?</t>
  </si>
  <si>
    <t>Nuværende rapporteringsperiode</t>
  </si>
  <si>
    <t>Basisår</t>
  </si>
  <si>
    <t>Målår</t>
  </si>
  <si>
    <t>Procentvis reduktion i relation til basisår</t>
  </si>
  <si>
    <t>År (dato)</t>
  </si>
  <si>
    <t xml:space="preserve">Brutto Scope 1 drivhusgasudledninger i  tCO2eq </t>
  </si>
  <si>
    <t>Brutto Scope 2 drivhusgasudledninger i tCO2eq (lokationsbaseret)</t>
  </si>
  <si>
    <t xml:space="preserve">Brutto Scope 2 drivhusgasudledninger i tCO2eq (markedsbaseret) </t>
  </si>
  <si>
    <t>Samlede Scope 1 og Scope 2 drivhusgasudledninger i tCO2eq (lokationsbaseret)</t>
  </si>
  <si>
    <t xml:space="preserve">Samlet Scope 1 og Scope 2 drivhusgasudledninger i tCO2eq (markedsbaseret) </t>
  </si>
  <si>
    <t>Oplyser virksomheden om enhedsspecifik information vedrørende Scope 3-udledninger (i tCO₂e)?</t>
  </si>
  <si>
    <t>1. Indkøbte varer og tjenesteydelser</t>
  </si>
  <si>
    <t>2. Kapitalgoder</t>
  </si>
  <si>
    <t>3. Brændstof- og energi-relaterede aktiviteter (ikke inkluderet i scope 1 eller scope 2)</t>
  </si>
  <si>
    <t>4. Opstrøms transport og distribution</t>
  </si>
  <si>
    <t>5. Affald genereret i driften</t>
  </si>
  <si>
    <t>6. Forretningsrejser</t>
  </si>
  <si>
    <t>7. medarbejderpendling</t>
  </si>
  <si>
    <t>8. Opstrøms lejede aktiver</t>
  </si>
  <si>
    <t>9. Nedstrøms transport og distribution</t>
  </si>
  <si>
    <t>10. Forarbejdning af solgte produkter</t>
  </si>
  <si>
    <t>11. Brug af solgte produkter</t>
  </si>
  <si>
    <t>12. Behandling ved slutningen af levetiden for solgte produkter</t>
  </si>
  <si>
    <t>13. Nedstrøms lejede aktiviteter</t>
  </si>
  <si>
    <t>14. Franchiseaftaler</t>
  </si>
  <si>
    <t>15. Investeringer</t>
  </si>
  <si>
    <t>Total Scope 3 drivhusgasudledninger</t>
  </si>
  <si>
    <t>Total Scope 1, Scope 2 og Scope 3 drivhusgasudledninger (lokationsbaseret)</t>
  </si>
  <si>
    <t xml:space="preserve">Total Scope 1, Scope 2 og Scope 3  drivhusgasudledninger (markedsbaseret) </t>
  </si>
  <si>
    <t>C3 - Liste over de vigtigste foranstaltninger, som virksomheden søger at gennemføre for at nå sine mål</t>
  </si>
  <si>
    <t>C3 - Omstillingsplan for virksomheder, der opererer i sektorer med stor klimaindvirkning</t>
  </si>
  <si>
    <t xml:space="preserve">Opererer virksomheden i en sektor med stor klimaindvirkning? </t>
  </si>
  <si>
    <t>Status for implementering af en omstillingsplan i relation til modvirkning af klimaændringer</t>
  </si>
  <si>
    <t>Beskrivelse af en overgangsplan for modvirkning af klimaændringer, herunder en redegørelse for, hvordan den bidrager til at reducere drivhusgasudledninger (GHG)</t>
  </si>
  <si>
    <t>Dato for forventet vedtagelse af omstillingsplan hvis endnu ikke vedtaget</t>
  </si>
  <si>
    <t>År</t>
  </si>
  <si>
    <t>Måned</t>
  </si>
  <si>
    <t>Dag</t>
  </si>
  <si>
    <t>B3 - Drivhusgasintensitet</t>
  </si>
  <si>
    <t>Scope 1 og Scope 2 drivhusgasintensitet (lokationsbaseret)</t>
  </si>
  <si>
    <t>Scope 1 og Scope 2 drivhusgasintensitet (markedsbaseret)</t>
  </si>
  <si>
    <t>Samlet Scope 1, Scope 2 og Scope 3 drivhusgasintensitet (lokationsbaseret)</t>
  </si>
  <si>
    <t xml:space="preserve">Samlet Scope 1, Scope 2 og Scope 3 drivhusgasintensitet (markedsbaseret) </t>
  </si>
  <si>
    <t>B4 – Forurening af luft, vand og jord</t>
  </si>
  <si>
    <t>Er virksomheden allerede forpligtet ved lov eller andre nationale bestemmelser til at rapportere sine udledninger af forurenende stoffer til de kompetente myndigheder, eller rapporterer den allerede frivilligt om dem i henhold til et miljøledelsessystem?</t>
  </si>
  <si>
    <t>Er denne oplysning allerede offentligt tilgængelig?</t>
  </si>
  <si>
    <t>Angiv venligst det relevante URL-link eller hyperlink, hvor disse oplysninger er rapporteret</t>
  </si>
  <si>
    <t>Vælg venligst den enhed, der bruges til rapportering af mængden (dvs. enten kg eller ton)</t>
  </si>
  <si>
    <t>Række-ID</t>
  </si>
  <si>
    <t xml:space="preserve">Forurenende stof
</t>
  </si>
  <si>
    <t>Udledning til luft</t>
  </si>
  <si>
    <t>Udledning til vand</t>
  </si>
  <si>
    <t>Udledning til jord</t>
  </si>
  <si>
    <t xml:space="preserve">B5 - Steder i eller i nærheden af 'biodiversitetsfølsomme områder’, som virksomheden a) ejer, b) lejer eller c) forvalter </t>
  </si>
  <si>
    <t>Har virksomheden lokaliteter, der er beliggende i eller nær biodiversitetsfølsomme områder?</t>
  </si>
  <si>
    <t>Vælg venligst den enhed, der anvendes til arealet (dvs. enten hektar eller m²):</t>
  </si>
  <si>
    <t>Relateret lokalitets-ID (vælg et ID fra en lokalitet rapporteret i B1)</t>
  </si>
  <si>
    <t>Lokalitet i/nær et biodiversitetsområde – automatisk udfyldt fra B1</t>
  </si>
  <si>
    <t>Areal (hektar eller m² baseret på valget ovenfor)</t>
  </si>
  <si>
    <t>Lokalitet beliggende i et biodiversitetsfølsomt område</t>
  </si>
  <si>
    <t>Lokalitet beliggende nær et biodiversitetsfølsomt område</t>
  </si>
  <si>
    <t xml:space="preserve">B5 - Biodiversitet - Arealforbrug </t>
  </si>
  <si>
    <t xml:space="preserve">Type af arealforbrug </t>
  </si>
  <si>
    <t>Areal</t>
  </si>
  <si>
    <t>Samlet befæstet areal</t>
  </si>
  <si>
    <t xml:space="preserve">Samlet naturorienteret areal på stedet </t>
  </si>
  <si>
    <t>Total naturorienteret areal uden for stedet</t>
  </si>
  <si>
    <t>Samlet arealforbrug</t>
  </si>
  <si>
    <t>B6 - Vand</t>
  </si>
  <si>
    <t xml:space="preserve">Samlet mændge vand udtaget fra alle lokationer (kubikmeter m³) </t>
  </si>
  <si>
    <t>Samlet mængde vand udtaget fra steder beliggende i områder med høj vandstress (kubikmeter m³)</t>
  </si>
  <si>
    <t>B6 – Vand</t>
  </si>
  <si>
    <t>Har virksomheden produktionsprocesser, der i væsentlig grad forbruger vand (f.eks. termiske energiprocesser såsom tørring eller elproduktion, produktion af varer, kunstvanding i landbruget osv.)?</t>
  </si>
  <si>
    <t>Vandudledning fra virksomhedens produktionsprocesser (m³)</t>
  </si>
  <si>
    <t>Samlet vandforbrug (m³)</t>
  </si>
  <si>
    <t>B7 - Beskrivelse af principperne for cirkulær økonomi</t>
  </si>
  <si>
    <t>Virksomheden anvender principperne for cirkulær økonomi</t>
  </si>
  <si>
    <t>Beskrivelse af, hvordan virksomhedenanvender disse principper</t>
  </si>
  <si>
    <t>B7 - Ressourceforbrug, cirkulær økonomi og affaldshåndtering</t>
  </si>
  <si>
    <t xml:space="preserve">Type af affald </t>
  </si>
  <si>
    <t>Måleenhed</t>
  </si>
  <si>
    <t>Affald omdirigeret til genanvendelse eller genbrug</t>
  </si>
  <si>
    <t xml:space="preserve">Affald sendt til bortskaffelse </t>
  </si>
  <si>
    <t>Samlet mængde affald  genbrugt, genanvendt og sendt til bortskaffelse</t>
  </si>
  <si>
    <t>Samlet produktion af farligt affald (masse)</t>
  </si>
  <si>
    <t xml:space="preserve">Samlet mængde affald genereret </t>
  </si>
  <si>
    <t>Samlet  produktion af ikke-farligt affald (masse)</t>
  </si>
  <si>
    <t>Samlet produktion af affald (masse)</t>
  </si>
  <si>
    <t>Samlet produktion af farligt affald (volume)</t>
  </si>
  <si>
    <t>kubikmeter (m³)</t>
  </si>
  <si>
    <t>Samlet produktion af ikke-farligt affald (volume)</t>
  </si>
  <si>
    <t>Samlet produktion af affald (volume)</t>
  </si>
  <si>
    <t xml:space="preserve">B7 - Årlig massestrøm af betydelige materialer brugt i virksomheden </t>
  </si>
  <si>
    <t>Opererer virksomheden i en sektor, der anvender betydelige materialestrømme (for eksempel fremstilling, byggeri, emballage eller andre)?</t>
  </si>
  <si>
    <t xml:space="preserve">Navn på det betydelige materiale </t>
  </si>
  <si>
    <t xml:space="preserve">Masse / Volume </t>
  </si>
  <si>
    <t>Samlet årlig massestrøm af betydelige materialer anvendt (masse i kg)</t>
  </si>
  <si>
    <t>kilogram (kg)</t>
  </si>
  <si>
    <t>Samlet årlig massestrøm af betyderlige metarialer anvendt (volumen i m³)</t>
  </si>
  <si>
    <t>C4 – Klimarisici</t>
  </si>
  <si>
    <t>Har virksomheden identificeret klimarelaterede farer og klimarelaterede omstillingshændelser, der skaber bruttoklimarelaterede risici for virksomheden?</t>
  </si>
  <si>
    <t>Beskrivelse af klimarelaterede farer og klimarelaterede omstillingshændelser</t>
  </si>
  <si>
    <t>Oplysning om, hvordan virksomheden har vurderet eksponeringen og følsomheden af sine aktiver, aktiviteter og værdikæde over for disse farer og omstillingshændelser</t>
  </si>
  <si>
    <t>Tidshorisonter for eventuelle identificerede klimarelaterede farer og omstillingshændelser</t>
  </si>
  <si>
    <t>Oplysninger om, hvorvidt virksomheden har gennemført tilpasning til klimaændringer i forhold til klimarelaterede farer og  omstillingshændelser</t>
  </si>
  <si>
    <t>Potentielle negative virkninger af klimarisici, der kan påvirke dens finansielle 
resultater eller forretningsaktiviteter på kort, mellemlang eller lang sigt, og angive, om den vurderer risiciene som  høje, mellemstore eller lave</t>
  </si>
  <si>
    <t xml:space="preserve">Oplysning om andre miljørelaterede og/eller virksomheds-specifikke miljøoplysninger </t>
  </si>
  <si>
    <t>Metode til opgørelse af antal ansatte for nedenstående oplysninger (samlet antal ansatte eller fuldtidsækvivalenter, koblet fra B1)</t>
  </si>
  <si>
    <t>Metode til opgørelse af antal ansatte for nedenstående oplysninger (ved udgangen af rapporteringsperioden eller som gennemsnit over rapporteringsperioden, koblet fra B1)</t>
  </si>
  <si>
    <t xml:space="preserve">B8 – Arbejdsstyrke – Generelle karakteristika - Type af ansættelseskontrakt </t>
  </si>
  <si>
    <t xml:space="preserve">Type af ansættelseskontrakt </t>
  </si>
  <si>
    <t>Tidsubegrænset kontrakt</t>
  </si>
  <si>
    <t xml:space="preserve">Midlertidig kontrakt </t>
  </si>
  <si>
    <t>Samlet antal ansatte (koblet fra B1)</t>
  </si>
  <si>
    <t>B8 – Arbejdsstyrke – Generelle karakteristika - Køn</t>
  </si>
  <si>
    <t>Mand</t>
  </si>
  <si>
    <t>Kvinde</t>
  </si>
  <si>
    <t>Andet</t>
  </si>
  <si>
    <t xml:space="preserve">Ikke registereret </t>
  </si>
  <si>
    <t>B8 – Arbejdsstyrke – Generelle karakteristika - Land for indgåelse af ansættelseskontrakten</t>
  </si>
  <si>
    <t xml:space="preserve">Land, hvor ansættelseskontrakten er indgået </t>
  </si>
  <si>
    <t xml:space="preserve">Opererer virksomheden i mere end ét land? </t>
  </si>
  <si>
    <t>B8 – Arbejdsstyrke – Generelle karakteristika - Medarbejderomsætning</t>
  </si>
  <si>
    <t>Antal ansatte, der fratrådte i løbet af rapporteringsperioden</t>
  </si>
  <si>
    <t>Antal ansatte ved begyndelsen af rapporteringsperioden</t>
  </si>
  <si>
    <t>Antal ansatte ved udgangen af rapporteringsperioden</t>
  </si>
  <si>
    <t>Medarbejderomsætningsrate [%] i rapporteringsperioden</t>
  </si>
  <si>
    <t>B9 – Arbejdsstyrke – Sundhed og sikkerhed</t>
  </si>
  <si>
    <t>Antallet af registrerbare arbejdsrelaterede ulykker i rapporteringsperioden</t>
  </si>
  <si>
    <t>Antal arbejdstimer for én fuldtidsansat i rapporteringsperioden</t>
  </si>
  <si>
    <t>Samlet antal årlige arbejdstimer for alle ansatte i rapporteringsperioden</t>
  </si>
  <si>
    <t>Antallet og andelen af registrerbare arbejdsrelaterede ulykker i rapporteringsperioden</t>
  </si>
  <si>
    <t>Antal dødsfald som følge af arbejdsrelaterede skader og arbejdsrelateret dårligt helbred.</t>
  </si>
  <si>
    <t xml:space="preserve">B10 – Arbejdsstyrke – Vederlag, kollektive overenskomster og uddannelse
</t>
  </si>
  <si>
    <t>Modtager de ansatte en løn, der er lig med eller højere end den gældende mindsteløn for det land, der rapporteres om? (Som fastsat direkte ved national llov om mindsteløn eller gennem en kollektiv overenskomst)</t>
  </si>
  <si>
    <t>Gennemsnitlig bruttotimeløn for mandlige ansatte</t>
  </si>
  <si>
    <t>Gennemsnitlig bruttotimeløn for kvindelige ansatte</t>
  </si>
  <si>
    <t>Procentvis lønforskel mellem virksomhedens kvindelige og mandlige ansatte [%]</t>
  </si>
  <si>
    <t>Antal ansatte omfattet af kollektive overenskomster</t>
  </si>
  <si>
    <t>Procentdel af ansatte omfattet af kollektive overenskomster [%]</t>
  </si>
  <si>
    <t>Gennemsnitligt antal årlige uddannelsestimer pr. ansat</t>
  </si>
  <si>
    <t>C5 – Supplerende (generelle) oplysninger om arbejdsstyrken</t>
  </si>
  <si>
    <t>Antal mandlige ansatte på ledelsesniveau</t>
  </si>
  <si>
    <t>Antal kvindelige ansatte på ledelsesniveau</t>
  </si>
  <si>
    <t>Forholdet mellem kvinder og mænd på ledelsesniveau for rapporteringsperioden</t>
  </si>
  <si>
    <t>Samlet antal selvstændige uden personale, der udelukkende arbejder for virksomheden</t>
  </si>
  <si>
    <t>Antallet af vikarer, der stilles til rådighed af virksomheder, som primært udøver beskæftigelsesaktiviteter</t>
  </si>
  <si>
    <t>C6 – Yderligere oplysninger om arbejdsstyrken – Menneskerettighedspolitikker og -processer</t>
  </si>
  <si>
    <t>Har virksomheden en adfærdskodeks eller menneskerettighedspolitik for sin egen arbejdsstyrke?</t>
  </si>
  <si>
    <t xml:space="preserve">Hvis ja, dækker det: </t>
  </si>
  <si>
    <t>· børnearbejde</t>
  </si>
  <si>
    <t>· tvangsarbejde</t>
  </si>
  <si>
    <t>· Menneskehandel</t>
  </si>
  <si>
    <t>· Forskelsbehandling</t>
  </si>
  <si>
    <t xml:space="preserve">· Sikkerhed og forebyggelse af ulykker </t>
  </si>
  <si>
    <t>· Andre? (hvis ja, angiv nærmere)</t>
  </si>
  <si>
    <t>Angiv andre typer indhold, der omfattes af adfærdskodeksen eller menneskerettighedspolitikken</t>
  </si>
  <si>
    <t>Har virksomheden en klagehåndteringsmekanisme for sine egne medarbejdere?</t>
  </si>
  <si>
    <t>C7 – Alvorlige negative menneskerettighedshændelser</t>
  </si>
  <si>
    <t>Har virksomheden bekræftede negative hændelser i sin egen arbejdsstyrke?</t>
  </si>
  <si>
    <t>Hvis ja, er hændelserne relateret til:</t>
  </si>
  <si>
    <t>Angiv andre bekræftede hændelser relateret til menneskerettigheder</t>
  </si>
  <si>
    <t xml:space="preserve">Beskrivelse af de foranstaltninger, der er truffet for at håndtere de bekræftede hændelser
</t>
  </si>
  <si>
    <t>Er virksomheden bekendt med bekræftede hændelser, der involverer arbejdstagere i værdikæden, berørte samfund, forbrugere og slutbrugere?</t>
  </si>
  <si>
    <t>Specifikation af enhver bekræftet hændelse, der involverer arbejdstagere i værdikæden, berørte lokalsamfund, forbrugere og slutbrugere</t>
  </si>
  <si>
    <t xml:space="preserve">Oplysninger om andre sociale og/eller virksomhedsspecifikke sociale oplysninger </t>
  </si>
  <si>
    <t>B11 – Domme og bøder for korruption og bestikkelse</t>
  </si>
  <si>
    <t>Har virksomheden pådraget sig domme og bøder i rapporteringsperioden?</t>
  </si>
  <si>
    <t>Samlet antal domme for overtrædelse af  love om bekæmpelse af korruption og bestikkelse</t>
  </si>
  <si>
    <t>Samlet bødebeløb for overtrædelse af love om bekæmpelse af korruption og bestikkelse</t>
  </si>
  <si>
    <t>C8 – Indtægter fra bestemte aktiviteter</t>
  </si>
  <si>
    <t>Har virksomheden relaterede indtægter fra én eller flere af nedenstående aktiviteter?</t>
  </si>
  <si>
    <t>Monetært beløb i</t>
  </si>
  <si>
    <t>Indtægter fra kontroversielle våben (personelminer, klyngeammunition, kemiske våben og biologiske våben)</t>
  </si>
  <si>
    <t>Indtægter fra dyrkning og produktion af tobak</t>
  </si>
  <si>
    <t xml:space="preserve">Indtægter fra fossile brændstoffer: Kul </t>
  </si>
  <si>
    <t>Indtægter fra fossile brændstoffer: Olie</t>
  </si>
  <si>
    <t>Indtægter fra fossile brændstoffer: Gas</t>
  </si>
  <si>
    <t>Samlede indtægter, der stammer fra fossile brændstoffer (kul, olie og gas) sektoren (dvs. virksomheden opnår indtægter fra udforskning, minedrift, udvinding, produktion, forarbejdning, opbevaring, raffinering eller distribution, inklusive transport, opbevaring og handel med fossile brændstoffer som defineret i artikel 2, punkt (62), i forordning (EU) 2018/1999 fra Europa-Parlamentet og Rådet)</t>
  </si>
  <si>
    <t>Indtægter fra kemikalieproduktion</t>
  </si>
  <si>
    <t>C8 – Udelukkelse fra EU-referencebenchmarks</t>
  </si>
  <si>
    <t>Virksomheder overskrider EU’s Paris-alignerede benchmarks, hvis:</t>
  </si>
  <si>
    <t>1 % eller mere af virksomhedens indtægter kommer fra efterforskning, minedrift, udvinding, distribution eller raffinering af hårdt kul og brunkul</t>
  </si>
  <si>
    <t>10 % eller mere af virksomhedens indtægter kommer fra efterforskning, udvinding, distribution eller raffinering af oliebrændstoffer</t>
  </si>
  <si>
    <t>50 % eller mere af virksomhedens indtægter kommer fra efterforskning, udvinding, fremstilling eller distribution af gasbaserede brændstoffer</t>
  </si>
  <si>
    <t>Elproduktion med høj drivhusgasintensitet (241d):
50 % eller mere af virksomhedens indtægter kommer fra elproduktion med en drivhusgasintensitet på mere end 100 g CO₂e/kWh</t>
  </si>
  <si>
    <t>Ingen af de ovenstående</t>
  </si>
  <si>
    <t xml:space="preserve">Virksomheder er udelukket fra enhver EU-referencebenchmark, der er tilpasset Parisaftalen. </t>
  </si>
  <si>
    <t>C9 – Kønsfordeling i ledelsesorganet</t>
  </si>
  <si>
    <t xml:space="preserve">Har virksomheden et ledelsesorgan? </t>
  </si>
  <si>
    <t>Antal kvinder i det øverste ledelsesorgan ved udgangen af rapporteringsperioden</t>
  </si>
  <si>
    <t>Antal mænd i det øverste ledelsesorgan ved udgangen af rapporteringsperioden</t>
  </si>
  <si>
    <t xml:space="preserve">Forholdet mellem kvinder og mænd i det øverste ledelsesorgan </t>
  </si>
  <si>
    <t>Oplysning af øvrige ledelses- og/eller virksomheds-specifikke ledelsesoplysninger</t>
  </si>
  <si>
    <t>BRÆNDSTOFSKONVERTER</t>
  </si>
  <si>
    <t>ANSVARSFRASKRIVELSE:</t>
  </si>
  <si>
    <t xml:space="preserve">Denne konverter er udelukkende beregnet til at illustrere, hvordan energiforbrug (i MWh) kan beregnes ud fra forskellige brændstoftyper. EFRAG påtager sig intet ansvar eller erstatningsansvar for indholdet eller for enhver direkte, indirekte eller tilfældig følgevirkning eller skade som følge af brugen af denne brændstofkonverter.
</t>
  </si>
  <si>
    <t>Bemærk, at typiske værdier for Nettokalorisk værdi (NCV) og Densitet er angivet for hver brændstoftype. Disse parametre kan dog variere afhængigt af faktorer som nationale regler, specifikke karakteristika ved brændstofleverandører eller andre omstændigheder. Derfor forventes det, at brugerne manuelt indtaster eller justerer NCV- og Densitetsværdierne for at afspejle deres specifikke situation.</t>
  </si>
  <si>
    <t>Derudover opfordres brugerne til at fastlægge fornyelsesstatussen for hver brændselstype baseret på Oprindelsesgarantier, som beskrevet i artikel 19 i det europæiske direktiv 2018/2001/EF om fremme af anvendelse af energi fra vedvarende kilder. Den standard fornyelsesstatus, der er angivet for hver brændselstype, er en typisk antagelse og bør justeres om nødvendigt baseret på geografiske eller individuelle forhold.</t>
  </si>
  <si>
    <t>Angiver, at cellen skal udfyldes enten ved at vælge en værdi fra dropdown-menuen (f.eks. Type af brændstof eller Måleenhed) eller ved at indtaste en mængde.</t>
  </si>
  <si>
    <t xml:space="preserve">Type af brædnstof </t>
  </si>
  <si>
    <t>Beløb</t>
  </si>
  <si>
    <t>Tilstand af stof</t>
  </si>
  <si>
    <t>Typisk vedvarende tilstand</t>
  </si>
  <si>
    <t>Beregnet energi i MWh</t>
  </si>
  <si>
    <t>Brug af brændstofskonverter</t>
  </si>
  <si>
    <t>1. I celle A9 skal du vælge det anvendte brændstof, enten ved at søge efter det eller ved at rulle ned i den viste liste og klikke på det.</t>
  </si>
  <si>
    <t>2. I celle B9 skal du vælge den anvendte måleenhed.</t>
  </si>
  <si>
    <t>3. I celle C9 skal du vælge den anvendte mængde brændstof.</t>
  </si>
  <si>
    <t>4. I celle D9 vises tilstanden for det valgte brændstof</t>
  </si>
  <si>
    <t>5. I celle E9 vises den typiske fornybarhedstilstand for det valgte brændstof</t>
  </si>
  <si>
    <t>6. I celle F9 vises energien produceret megawatt-timer, baseret på den specificerede mængde brændstof</t>
  </si>
  <si>
    <t>7. I celle A28 vises den samlede mængde energi i Megawatt-timer</t>
  </si>
  <si>
    <t>8. I celle A31 vises den samlede mængde vedvarende energi i Megawatt-timer</t>
  </si>
  <si>
    <t xml:space="preserve">9. I celle B31 vises den samlede mængde  ikkefornybare energi i Megawatt-timer </t>
  </si>
  <si>
    <t>10. Yderligere bemærkninger kan findes nedenfor</t>
  </si>
  <si>
    <t>Overfør de samlede beregnede resultater til B3's rapporteringsfelt "Energiforbrug af brændstof"</t>
  </si>
  <si>
    <t>Samlet energi (MWh)</t>
  </si>
  <si>
    <t xml:space="preserve">
Samlet vedvarende energi (MWh) 
</t>
  </si>
  <si>
    <t>Samlet ikke-vedvarened energi [MWh]</t>
  </si>
  <si>
    <t>Yderligere bemærkninger:</t>
  </si>
  <si>
    <t>Konverteren tilbyder muligheden for at beregne op til 10 forskellige typer brændstof samtidigt. For at gøre dette, udvid venligst de skjulte kolonner ved at bruge plus-ikonet øverst i dokumentet.
Hver udvidet brændstofkonverter fungerer præcist som forklaret ovenfor.
Det er vigtigt at bemærke, at den automatiske beregning, der udføres af Brændstofkonverteren, foretages ved hjælp af NCV'er og Densiteter, som er typiske for denne specifikke type brændstof. Hvis virksomheden er i stand til at levere de specifikke NCV'er og densiteter for de anvendte brændstoffer, er der mulighed for at beregne energiforbruget per time i MWh ved at indarbejde de specifikke værdier i formlerne, som er automatiserede i Brændstofkonverter-arket.
Nedenfor findes formlerne, hvis beregning med specifikke værdier i stedet for  Brændstofskonverteren foretrækkes. Hvis du har brug for at omregne måleenheden for dine specifikke målinger, skal du bruge Måleenheds-konverteren.</t>
  </si>
  <si>
    <t>Energiforbrug per time i MWh for faste brændstoffer:</t>
  </si>
  <si>
    <t>Energi [MWh] = Masse [t] * NCV [MWh/t]</t>
  </si>
  <si>
    <t>Energiforbrug pr. time i MWh for flydende brændstoffer:</t>
  </si>
  <si>
    <t>Masse [t] = Volumen [L] * Densitet [t/L]</t>
  </si>
  <si>
    <t>Energi [MWh] = Masse [t] * [MWh/t]</t>
  </si>
  <si>
    <t>Energiforbrug pr. time i MWh for gasformige brændstoffer:</t>
  </si>
  <si>
    <t>Masse [t] = Volumen [m³] * Densitet [t/m³]</t>
  </si>
  <si>
    <t>MÅLEENHEDSKONVERTERING</t>
  </si>
  <si>
    <t>Fra</t>
  </si>
  <si>
    <t>Måleenhed for Masseomformer</t>
  </si>
  <si>
    <t>Måleenhed for Volumenomformer</t>
  </si>
  <si>
    <t>Måleenhed for energiforbrug pr. time</t>
  </si>
  <si>
    <t xml:space="preserve">Måleenhed for NCV-konverter 
</t>
  </si>
  <si>
    <t>Måleenhed for Densitetsomformer</t>
  </si>
  <si>
    <t>Brug af enhedsomregner</t>
  </si>
  <si>
    <t xml:space="preserve">Trin til at følge massetabellen </t>
  </si>
  <si>
    <t>1. I celle B5 i tabellen for Massekonverteren skal du indsætte den måleenhed, du vil omregne.</t>
  </si>
  <si>
    <t>2. Derefter kan mængden af masse indsættes i celle B6.</t>
  </si>
  <si>
    <t>3. Endelig skal der i cellen D5 være den relevante måleenhed.</t>
  </si>
  <si>
    <t>4. Resultatet af konverteringen vil blive vist i celle D6.</t>
  </si>
  <si>
    <t>Trinene, der skal følges for de øvrige tabeller (Volume, Energy Consumption, Density og NCV), er de samme som for Mass table.</t>
  </si>
  <si>
    <t>Nedenfor er angivet alle enhedsomregninger for hver tabel.</t>
  </si>
  <si>
    <t>▪ Enhed for masseomregner:</t>
  </si>
  <si>
    <t>▪ Måleenhed for volumekonverter:</t>
  </si>
  <si>
    <t>▪ Måleenhed for energikonverter:</t>
  </si>
  <si>
    <t>▪ Måleenhed for densitetskonverter:</t>
  </si>
  <si>
    <t>▪ Måleenhed for NCV-konverter:</t>
  </si>
  <si>
    <t xml:space="preserve">UFÆRDIG </t>
  </si>
  <si>
    <t xml:space="preserve">FÆRDIG </t>
  </si>
  <si>
    <t>MANGLENDE VÆRDI</t>
  </si>
  <si>
    <t>FEJL</t>
  </si>
  <si>
    <t>UOVERENSSTEMMELSE I VÆRDIER</t>
  </si>
  <si>
    <t>FEJL + UOVERENSSTEMMELSE I VÆRDIER</t>
  </si>
  <si>
    <t xml:space="preserve">FEJL + MANGLENDE VÆRDI +  UOVERENSSTEMMELSE I VÆRDIER </t>
  </si>
  <si>
    <t>FEJL + MANGLENDE VÆRDI</t>
  </si>
  <si>
    <t>MANGLENDE VÆRDI + UOVERENSSTEMMELSE I VÆRDIER</t>
  </si>
  <si>
    <t>UGYLDIG URL</t>
  </si>
  <si>
    <t>ℹ️ Flydende brændstof: vælg venligst en måleenhed blandt m³ og L</t>
  </si>
  <si>
    <t>ℹ️ Fast brændsel: vælg venligst en måleenhed blandt Gg, t, Kg og g</t>
  </si>
  <si>
    <t>ℹ️ Gasformigt brændstof: vælg venligst en måleenhed blandt m³ og L</t>
  </si>
  <si>
    <t>ℹ️ Virksomhedsidentifikatoren er et unikt ID, som muliggør identifikation af den virksomhed, der har indberettet oplysningerne. VSME-standarden kræver ikke noget specifikt identifikationsnummer. En virksomhedsidentifikator er påkrævet for digital rapportering.</t>
  </si>
  <si>
    <t>ℹ️ Hvis beskeden UOVERENSSTEMMELSE I VÆRDIER vises til højre, skal du sikre dig, at rapporteringsperiodens slutdato er større end rapporteringsperiodens startdato.</t>
  </si>
  <si>
    <t>ℹ️ Lister kan udvides ved hjælp af den lille [+] knap til venstre. Hvis antallet af rækker ikke er tilstrækkeligt, kan de tilføjes ved at højreklikke på anden række og vælge "Indsæt række".</t>
  </si>
  <si>
    <t>ℹ️ Når "andet" vælges som virksomhedsretlig form, bedes du udfylde rækken nedenfor.</t>
  </si>
  <si>
    <t xml:space="preserve">ℹ️ Vælg venligst en NACE-kode i stedet for en kategori, ellers vil en FEJL-meddelelse blive vist.
</t>
  </si>
  <si>
    <t>ℹ️ Vær venlig at sørge for at adskille hvert gadenummer og husnummer med skråstregsymbolet \"/\" og ikke kommaet \",\"</t>
  </si>
  <si>
    <t>ℹ️ Bemærk, at formlen i denne celle kan blive overskrevet, hvis virksomheden ønsker at angive værdien direkte.</t>
  </si>
  <si>
    <t xml:space="preserve">ℹ️ Kategorier for Scope 3 i henhold til GHG-protokollen kan hjælpe med at beregne de samlede Scope 3-drivhusgasemissioner. Hvis virksomheden ønsker det, kan den direkte oplyse de samlede Scope 3-drivhusgasemissioner i den respektive celle. 
</t>
  </si>
  <si>
    <t>ℹ️ Hvis der vises en validering relateret til værdikonsistens, bedes du vælge et site-ID, der er forskelligt fra et af dem, der tidligere er valgt.</t>
  </si>
  <si>
    <t xml:space="preserve">ℹ️ Vælg venligst en affaldstype (farligt eller ikke-farligt) i stedet for en kategori, ellers vil meldingen FEJL  fremkomme. </t>
  </si>
  <si>
    <t xml:space="preserve">ℹ️ Sørg venligst for, at det samlede antal ansatte er det samme som det, der er angivet i arket "Generelle oplysninger" celle E55
</t>
  </si>
  <si>
    <t xml:space="preserve">ℹ️ Virksomheden kan ændre værdien i denne celle, da 2.000 timer er baseret på antagelsen om, at en fuldtidsansat arbejder 2.000 timer om året. Dette tal kan variere efter land eller sektor, afhængigt af nationale regler eller kollektive overenskomster. 
</t>
  </si>
  <si>
    <t>Danish - Reviewed translation by Danish Standard Setter</t>
  </si>
  <si>
    <t>ℹ️ Tjek EFRAGs hjemmeside for en ikke-udtømmende liste over drivhusgasberegnere.</t>
  </si>
  <si>
    <t>Nom de l'entreprise</t>
  </si>
  <si>
    <t>Identifiant de l'entreprise</t>
  </si>
  <si>
    <t>Schéma d'identification de l'entreprise</t>
  </si>
  <si>
    <t>Devise utilisée dans le rapport</t>
  </si>
  <si>
    <t>Séparateur décimal</t>
  </si>
  <si>
    <t>Période de reporting</t>
  </si>
  <si>
    <t>Rapport généré</t>
  </si>
  <si>
    <t>Toutes les informations se rapportent à la période de reporting ci-dessus, sauf indication contraire.</t>
  </si>
  <si>
    <t>Table des matières</t>
  </si>
  <si>
    <t>Période de reporting :</t>
  </si>
  <si>
    <t>Ce rapport contient</t>
  </si>
  <si>
    <t>Version :</t>
  </si>
  <si>
    <t>Date de publication :</t>
  </si>
  <si>
    <t>Point d'entrée de la taxonomie XBRL :</t>
  </si>
  <si>
    <t>Sélectionnez la langue d'affichage :</t>
  </si>
  <si>
    <t>Titre du rapport</t>
  </si>
  <si>
    <t>Rapport de durabilité</t>
  </si>
  <si>
    <t>Sous-titre du rapport</t>
  </si>
  <si>
    <t>Préparé conformément à la norme volontaire d’information en matière de durabilité pour les petites et moyennes entreprises (VSME), publiée par la Commission européenne le 30 juillet 2025</t>
  </si>
  <si>
    <t>Format numérique VSME</t>
  </si>
  <si>
    <t>L'objectif de ce format numérique est d’illustrer la manière dont le reporting VSME peut être mis en œuvre dans un format numérique standardisé. Ce format reflète la recommandation VSME telle que publiée par la Commission européenne le 30 juillet 2025. Il est accompagné d’une taxonomie numérique VSME au format XBRL, qui représente le modèle de données numériques correspondant aux informations à publier et est disponible sur le site internet de l’EFRAG. 
La norme VSME exige la publication d’informations comparatives sur les indicateurs (paragraphe 12). Le présent format permet de réaliser un reporting pour une seule période. Par conséquent, il peut être utilisé uniquement pour le reporting de la première année. Il est attendu que les futures solutions de reporting permettent la reconduction des périodes de reporting, afin de fournir automatiquement les informations comparatives nécessaires. 
Ce format peut être utilisé pour la saisie et la validation des données. 
En utilisant le convertisseur XBRL disponible sur le site de l'EFRAG, il peut être enregistré sous forme de rapport XBRL, dans un format de données libre et ouvert. Les plages nommées d’Excel sont utilisées pour extraire les informations à publier. Les cellules de valeur vides, ne contenant aucune donnée (ni texte ni nombre), ne seront pas considérées comme renseignées et ne seront donc pas incluses dans le rapport XBRL lors de l’utilisation du convertisseur Excel vers XBRL. 
Certains menus déroulants comportent plus de 100 entrées (par ex. les codes NACE sous B1, la liste des polluants sous B4, la liste des déchets sous B7). Pour effectuer une recherche dans ces listes, les utilisateurs peuvent simplement taper un mot-clé dans la cellule concernée.
En cas d’avertissement de sécurité, veuillez cliquer sur « Activer le contenu » afin d’autoriser le calcul automatique des coordonnées GPS pour la liste des sites sous B1. Aucun contenu autre que l’adresse saisie ne sera transmis sur Internet, et les informations partagées avec le prestataire peuvent être consultées dans la politique d’utilisation de Nominatim (Politique de géocodage) et la politique de confidentialité. 
L’ensemble des supports développés par le Secrétariat de l’EFRAG est mis à disposition gratuitement et en open source (sous licence MIT), ce qui permettra à toute partie prenante de les améliorer et de les intégrer dans des solutions commerciales. Cependant, les fournisseurs de ces solutions commerciales doivent respecter les conditions de la licence, notamment la mention obligatoire de la référence à l’EFRAG. La licence MIT peut être consultée dans la feuille dédiée. 
Si vous souhaitez signaler un problème concernant le format numérique VSME ou le convertisseur du format numérique vers XBRL, nous vous invitons à le faire en créant un ticket dans le projet GitHub.</t>
  </si>
  <si>
    <t>Comment l'utiliser :</t>
  </si>
  <si>
    <t>0. Fournissez les informations obligatoires pour générer le rapport VSME et XBRL.</t>
  </si>
  <si>
    <t>1. Remplissez les informations demandées dans les quatre feuilles de travail (Informations générales, Informations environnementales, Informations sociales, Informations de gouvernance) dans les cellules blanches encadrées d'une bordure noire. N'entrez aucune information en dehors de ces cellules. La recherche dans les menus déroulants peut être effectuée en tapant directement un mot-clé dans la cellule. Des indications (messages d'aide à la saisie) peuvent être affichées dans certaines cellules lors de leur sélection.</t>
  </si>
  <si>
    <t>2. Consultez les liens associés pour obtenir plus d’informations sur les exigences de publication de la norme VSME, ainsi que sur les orientations correspondantes liées à chaque cellule. Des informations supplémentaires ou spécifiques à l'entité peuvent être fournies dans chaque zone de texte située à la fin de chaque feuille de travail.</t>
  </si>
  <si>
    <t>3. Pour les tableaux ouverts, tels que la liste des filiales, veuillez développer les groupes en cliquant sur l’icône plus [+] située sur le côté gauche.
Si des lignes supplémentaires sont nécessaires, elles peuvent être ajoutées en les insérant entre la première et la dernière ligne du tableau.
Les identifiants des lignes dans les tableaux ouverts doivent rester uniques dans chacun des tableaux.</t>
  </si>
  <si>
    <t>4. Validez les données saisies en vérifiant le statut de validation. Le rapport est considéré comme incomplet ou erroné si la validation échoue, ce qui peut entraîner la génération d’un rapport XBRL non valide.</t>
  </si>
  <si>
    <t>5. Convertissez ce format en rapport Inline XBRL (ou XBRL-JSON, XBRL-CSV), en utilisant le convertisseur en ligne. Faites attention à la validation XBRL effectuée par l'outil de validation.</t>
  </si>
  <si>
    <t>6. L'entreprise peut aussi télécharger le rapport dans des registres publics en ligne ou sur une page web</t>
  </si>
  <si>
    <t>Légende couleur des cellules :</t>
  </si>
  <si>
    <t>Principes généraux</t>
  </si>
  <si>
    <t>Indique que la divulgation relève des principes généraux de VSME</t>
  </si>
  <si>
    <t>Indique que la divulgation provient du module de base VSME.</t>
  </si>
  <si>
    <t>Module complet</t>
  </si>
  <si>
    <t>Indique que la divulgation provient du module complet VSME.</t>
  </si>
  <si>
    <t>Indique que la cellule est calculée automatiquement et qu’aucune saisie de données n’est requise.</t>
  </si>
  <si>
    <t>Indique que le point de donnée (souvent une condition) ne sera pas inclus dans le rapport VSME ni dans le rapport numérique XBRL. Ces cellules servent à faciliter la saisie des informations dans la mesure où elles déclenchent l'applicabilité de la divulgation ou permettent le calcul automatique des informations. Si les cellules jaunes ne sont pas utilisées pour calculer une valeur, le total à reporter peut être saisi manuellement, en remplaçant la formule existante.</t>
  </si>
  <si>
    <t xml:space="preserve">Indique qu'aucune donnée n'est à saisir à moins que certains éléments soient sélectionnés dans l'information elle-même. Dans ce cas, la cellule deviendra blanche. </t>
  </si>
  <si>
    <t>Validation VALEUR MANQUANTE/ERREUR/VALEUR INCOHERENTE/URL NON VALIDE</t>
  </si>
  <si>
    <t>Indique soit que les données sont saisies dans un format incorrect, soit que certaines informations manquent pour pouvoir correctement remplir les exigences de publication.</t>
  </si>
  <si>
    <t>Indique que la saisie des données est OK et que l'entreprise peut passer à la divulgation suivante.</t>
  </si>
  <si>
    <t>Aucune valeur ne peut être saisie dans la cellule.</t>
  </si>
  <si>
    <t>Les listes peuvent être déroulées à l’aide du bouton plus [+] situé à gauche. Si le nombre de lignes n’est pas suffisant, des lignes supplémentaires peuvent être ajoutées en cliquant avec le bouton droit sur la deuxième ligne et en sélectionnant « Insérer une ligne ».</t>
  </si>
  <si>
    <t xml:space="preserve">L'EFRAG est financée par l'Union européenne dans le cadre du Programme pour le marché unique, auquel participent également les pays de l'EEE-AELE (Norvège, Islande et Liechtenstein), ainsi que le Kosovo. Les opinions et points de vue exprimés sont toutefois ceux de l’auteur ou des auteurs uniquement et ne reflètent pas nécessairement ceux de l'Union européenne, de la Commission européenne ou des pays participant au Programme pour le marché unique. Ni l'Union européenne, ni la Commission européenne, ni les pays participants au Programme pour le marché unique ne peuvent en être tenus responsables. © 2025 EFRAG – Tous droits réservés.
</t>
  </si>
  <si>
    <t>Les droits de reproduction et d'utilisation sont strictement limités. Pour plus de détails, veuillez contacter efragsecretariat@efrag.org</t>
  </si>
  <si>
    <t xml:space="preserve">Statut global de validation
</t>
  </si>
  <si>
    <t>Le regroupement des contenus suit le cadre du format</t>
  </si>
  <si>
    <t>Statut de validation du contenu spécifique</t>
  </si>
  <si>
    <t>Informations générales</t>
  </si>
  <si>
    <t>· Informations sur le rapport nécessaires pour XBRL</t>
  </si>
  <si>
    <t>· Informations sur la période de reporting précédente</t>
  </si>
  <si>
    <t>Module de base</t>
  </si>
  <si>
    <t>Base de préparation et autres informations générales de l'entreprise</t>
  </si>
  <si>
    <t>Liste des filiales</t>
  </si>
  <si>
    <t>Publication de la ou des certification(s) ou label(s) liés à la durabilité</t>
  </si>
  <si>
    <t>Liste du (des) site(s)</t>
  </si>
  <si>
    <t>B2 – Pratiques, politiques et initiatives futures en vue de la transition vers une économie plus durable</t>
  </si>
  <si>
    <t>Pratiques, politiques et initiatives futures en vue de la transition vers une économie plus durable</t>
  </si>
  <si>
    <t>Informations spécifiques aux coopératives</t>
  </si>
  <si>
    <t>Informations environnementales</t>
  </si>
  <si>
    <t>Consommation totale d'énergie (en MWh)</t>
  </si>
  <si>
    <t>Ventilation de la consommation d'énergie (en MWh)</t>
  </si>
  <si>
    <t>Estimation des émissions brutes de gaz à effet de serre (GES) en prenant en considération le Protocole des GES (GHG Protocol) (version 2004) (en teqCO2)</t>
  </si>
  <si>
    <t>Intensité des émissions de gaz à effet de serre sur la base du chiffre d’affaires</t>
  </si>
  <si>
    <t>Sites situés dans des zones sensibles sur le plan de la biodiversité</t>
  </si>
  <si>
    <t>Biodiversité - Utilisation des terres</t>
  </si>
  <si>
    <t>Prélèvements d'eau</t>
  </si>
  <si>
    <t>Consommation d’eau</t>
  </si>
  <si>
    <t>Description des principes de l'économie circulaire</t>
  </si>
  <si>
    <t>Déchets produits</t>
  </si>
  <si>
    <t>le flux massique annuel des matières pertinentes utilisées</t>
  </si>
  <si>
    <t>Informations sociales</t>
  </si>
  <si>
    <t>Type de contrat</t>
  </si>
  <si>
    <t>Genre</t>
  </si>
  <si>
    <t>Pays du contrat de travail</t>
  </si>
  <si>
    <t>Taux de rotation</t>
  </si>
  <si>
    <t>B9 – Personnel – Santé et sécurité</t>
  </si>
  <si>
    <t>Informations de gouvernance</t>
  </si>
  <si>
    <t>B11 – Condamnations et amendes pour corruption et pots-de-vin</t>
  </si>
  <si>
    <t>C2 – Description des pratiques, politiques et initiatives futures en vue de la transition vers une économie plus durable</t>
  </si>
  <si>
    <t>Cibles de réduction des émissions de GES (en tCO₂e)</t>
  </si>
  <si>
    <t>Publication de la liste des principales actions que l'entreprise entend mettre en œuvre pour atteindre ses cibles</t>
  </si>
  <si>
    <t>Plan de transition pour les entreprises opérant dans des secteurs à fort impact climatique</t>
  </si>
  <si>
    <t>C4 – Risques climatiques</t>
  </si>
  <si>
    <t>C5 – Caractéristiques supplémentaires (générales) du personnel</t>
  </si>
  <si>
    <t>C7 – Incidents graves en matière de droits de l’homme</t>
  </si>
  <si>
    <t>Chiffre d’affaires de certains secteurs</t>
  </si>
  <si>
    <t>Exclusion des indices de référence de l'UE</t>
  </si>
  <si>
    <t>C9 – Ratio de mixité au sein de l’organe de gouvernance</t>
  </si>
  <si>
    <t>Informations supplémentaires</t>
  </si>
  <si>
    <t>Publication de toute autre information environnementale et/ou spécifique à l'entité</t>
  </si>
  <si>
    <t>Publication de toute autre information sociale et/ou spécifique à l'entité</t>
  </si>
  <si>
    <t>Publication de toute autre information relative à la gouvernance et/ou spécifique à l'entité</t>
  </si>
  <si>
    <t>Référence de paragraphe</t>
  </si>
  <si>
    <t>Référence de paragraphe des orientations</t>
  </si>
  <si>
    <t>du</t>
  </si>
  <si>
    <t>au</t>
  </si>
  <si>
    <t>à</t>
  </si>
  <si>
    <t xml:space="preserve">[Toujours à reporter] 
</t>
  </si>
  <si>
    <t>[Le cas échéant]</t>
  </si>
  <si>
    <t>[peut (facultatif)]</t>
  </si>
  <si>
    <t>peut (facultatif)</t>
  </si>
  <si>
    <t>[Toujours à reporter + le cas échéant]</t>
  </si>
  <si>
    <t>[S'il y a lieu, lié à B2]</t>
  </si>
  <si>
    <t>montant en</t>
  </si>
  <si>
    <t>Informations sur le rapport nécessaires pour XBRL</t>
  </si>
  <si>
    <t xml:space="preserve">Nom de l'entreprise déclarante
</t>
  </si>
  <si>
    <t>Identifiant de l'entreprise déclarante (sélectionnez et spécifiez à droite)</t>
  </si>
  <si>
    <t>Devise utilisée pour les valeurs monétaires dans le rapport</t>
  </si>
  <si>
    <t>Année de début</t>
  </si>
  <si>
    <t>Mois de début</t>
  </si>
  <si>
    <t>Jour de début</t>
  </si>
  <si>
    <t>Date de début de la période de reporting (aaaa-mm-jj)</t>
  </si>
  <si>
    <t xml:space="preserve">Année de fin
</t>
  </si>
  <si>
    <t>Mois de fin</t>
  </si>
  <si>
    <t>Jour de fin</t>
  </si>
  <si>
    <t>Date de fin de la période de reporting (aaaa-mm-jj)</t>
  </si>
  <si>
    <t>Informations sur la période de reporting précédente</t>
  </si>
  <si>
    <t>Ce rapport contient des informations de la période de reporting précédente qui restent inchangées.</t>
  </si>
  <si>
    <t>Liste des informations pour lesquelles aucun changement n’est signalé par rapport à la période de reporting précédente</t>
  </si>
  <si>
    <t>Lien vers le rapport précédent contenant des informations inchangées</t>
  </si>
  <si>
    <t>B1 - Base de préparation et autres informations générales de l'entreprise</t>
  </si>
  <si>
    <t>Base de préparation (Module de base uniquement ou Modules de base &amp; complet)</t>
  </si>
  <si>
    <t>Liste des informations omises jugées comme informations classifiées ou sensibles</t>
  </si>
  <si>
    <t>Base de présentation (consolidée ou individuelle)</t>
  </si>
  <si>
    <t>Forme juridique de l’entreprise</t>
  </si>
  <si>
    <t>Autre spécification sur la forme juridique de entreprise</t>
  </si>
  <si>
    <t>Code(s) de la nomenclature sectorielle NACE</t>
  </si>
  <si>
    <t>Total du bilan (total des actifs) en</t>
  </si>
  <si>
    <t>Chiffre d'affaires en</t>
  </si>
  <si>
    <t>Nombre de salariés</t>
  </si>
  <si>
    <t>Méthodologie de comptage des salariés (à la fin de la période de reporting, ou en moyenne pendant la période de reporting)</t>
  </si>
  <si>
    <t>Méthodologie de comptage des salariés (effectif ou équivalent temps plein)</t>
  </si>
  <si>
    <t>Pays où sont exercées les activités principales et localisation d'un ou de plusieurs actifs présentant un intérêt significatif</t>
  </si>
  <si>
    <t>B1 - Liste des filiales</t>
  </si>
  <si>
    <t>Nom</t>
  </si>
  <si>
    <t>Adresse du siège social</t>
  </si>
  <si>
    <t>B1 - Publication de la ou des certification(s) ou label(s) liés à la durabilité</t>
  </si>
  <si>
    <t>L'entreprise a-t-elle obtenu une ou plusieurs certification(s) ou label(s) liés à la durabilité ?</t>
  </si>
  <si>
    <t>Si l’entreprise a obtenu une certification ou un label lié à la durabilité, elle en fournit une brève description (y compris, le cas échéant, les organismes qui délivrent la certification ou le label, la date et la notation).</t>
  </si>
  <si>
    <t>B1 - Liste des site(s)</t>
  </si>
  <si>
    <t>Code postal</t>
  </si>
  <si>
    <t>Ville</t>
  </si>
  <si>
    <t>Pays</t>
  </si>
  <si>
    <t>Coordonnées (géolocalisation)</t>
  </si>
  <si>
    <t>Géolocalisation automatique : en activant la géolocalisation automatique d'OpenStreetMap avec la case à cocher ci-dessous, l'entreprise déclare être pleinement consciente et accepter la politique d'utilisation de Nominatim ainsi que la politique de confidentialité.
OpenStreetMap® est une base de données ouverte sous licence Open Data Commons Open Database License (ODbL) par la Fondation OpenStreetMap (OSMF). Toutes les données appartiennent et sont la propriété d'OpenStreetMap®.</t>
  </si>
  <si>
    <t>L’entreprise a-t-elle mis en place des pratiques, des politiques ou des initiatives futures spécifiques en vue de la transition vers une économie plus durable ?</t>
  </si>
  <si>
    <t>Enjeux de durabilité traités par des pratiques, politiques, et/ou initiatives futures mises en place par l’entreprise</t>
  </si>
  <si>
    <t>L'entreprise dispose d'une pratique, d'une politique et/ou d'une initiative future qui est accessible au public.</t>
  </si>
  <si>
    <t xml:space="preserve">L’entreprise a fixé une cible qui est liée à une politique. </t>
  </si>
  <si>
    <t>Changement climatique</t>
  </si>
  <si>
    <t>Ressources hydriques et marines</t>
  </si>
  <si>
    <t>Biodiversité et écosystèmes</t>
  </si>
  <si>
    <t>Économie circulaire</t>
  </si>
  <si>
    <t>Personnel de l'entreprise</t>
  </si>
  <si>
    <t>Travailleurs de la chaîne de valeur</t>
  </si>
  <si>
    <t>Communautés affectées</t>
  </si>
  <si>
    <t>Consommateurs et utilisateurs finaux</t>
  </si>
  <si>
    <t>Conduite des affaires</t>
  </si>
  <si>
    <t>B2 - Divulgations propres aux coopératives</t>
  </si>
  <si>
    <t>Participation effective des travailleurs, des utilisateurs ou d'autres parties ou communautés intéressées à la gouvernance</t>
  </si>
  <si>
    <t>Investissements financiers dans le capital ou les actifs des entités de l’économie sociale visées par la recommandation du Conseil du 29 septembre 2023 (à l’exclusion des dons et contributions)</t>
  </si>
  <si>
    <t>Limites à la distribution des bénéfices du fait du caractère mutualiste ou de la nature des activités exercées valant services d’intérêt économique général</t>
  </si>
  <si>
    <t>Description d'une pratique, d'une politique et/ou d'une initiative future en vue d'un avenir plus durable (Si la pratique, la politique ou l'initiative future concerne des fournisseurs ou des clients, l'entreprise doit le mentionner)</t>
  </si>
  <si>
    <t>Description de la cible liée à une politique</t>
  </si>
  <si>
    <t>Niveau hiérarchique le plus élevé parmi les salariés qui est responsable de la mise en œuvre des politiques, lorsque cela a été déterminé par l’entreprise</t>
  </si>
  <si>
    <t>C1 – Stratégie : modèle économique et durabilité – initiatives associées</t>
  </si>
  <si>
    <t>Description des grands groupes de produits et/ou services proposés</t>
  </si>
  <si>
    <t>Description du ou des grands marchés sur lesquels l'entreprise exerce ses activités (par ex. commerce interentreprises, commerce de gros, commerce de détail, pays)</t>
  </si>
  <si>
    <t>Description des principales relations d’affaires (telles que les principaux fournisseurs, clients, canaux de distribution)</t>
  </si>
  <si>
    <t xml:space="preserve">	
La stratégie comporte-t-elle des éléments principaux qui se rattachent à des enjeux de durabilité ou qui les influencent ?</t>
  </si>
  <si>
    <t>Description des principaux éléments de la stratégie qui se rattachent à des enjeux de durabilité ou qui les influencent</t>
  </si>
  <si>
    <t>Publication de toute autre information environnementale et/ou spécifique à l'entité sur la période de reporting</t>
  </si>
  <si>
    <t>B3 - Consommation totale d’énergie (en MWh)</t>
  </si>
  <si>
    <t>Consommation totale d’énergie</t>
  </si>
  <si>
    <t>B3 - Ventilation de la consommation d'énergie (en MWh)</t>
  </si>
  <si>
    <t>L’entreprise a-t-elle obtenu les informations nécessaires pour fournir une ventilation de la consommation d’énergie ?</t>
  </si>
  <si>
    <t>Renouvelable</t>
  </si>
  <si>
    <t>Non renouvelable</t>
  </si>
  <si>
    <t>Total renouvelable et non renouvelable</t>
  </si>
  <si>
    <t>Électricité (telle qu’indiquée sur les factures de consommation courante)</t>
  </si>
  <si>
    <t>Électricité auto-produite</t>
  </si>
  <si>
    <t>Combustibles (voir Convertisseur de combustible dans la feuille Combustible)</t>
  </si>
  <si>
    <t>B3 - Estimations des émissions de gaz à effet de serre en prenant en considération la norme du protocole des GES relative aux entreprises (GHG Protocol) (version 2004) (en tCO₂e)</t>
  </si>
  <si>
    <t>L'entreprise a-t-elle établi des cibles de réduction des émissions de GES ?</t>
  </si>
  <si>
    <t>Période de reporting actuelle</t>
  </si>
  <si>
    <t>Année de référence</t>
  </si>
  <si>
    <t>Année cible</t>
  </si>
  <si>
    <t>Réduction en pourcentage par rapport à l’année de référence</t>
  </si>
  <si>
    <t>Année (date)</t>
  </si>
  <si>
    <t>Émissions brutes de GES du scope 1</t>
  </si>
  <si>
    <t>Émissions brutes de GES du scope 2 basées sur la localisation</t>
  </si>
  <si>
    <t>Émissions brutes de GES du scope 2 basées sur le marché</t>
  </si>
  <si>
    <t>Émissions totales de GES des scopes 1 et 2 (approche basée sur la localisation)</t>
  </si>
  <si>
    <t>Émissions totales de GES des scopes 1 et 2 (approche basée sur le marché)</t>
  </si>
  <si>
    <t>L'entreprise publie-t-elle des informations spécifiques à l’entité sur les émissions du scope 3 (en tCO₂e) ?</t>
  </si>
  <si>
    <t>1. Biens et services achetés</t>
  </si>
  <si>
    <t>2. Biens d'investissement</t>
  </si>
  <si>
    <t>3. Activités relevant des secteurs des combustibles et de l’énergie (non incluses dans les scopes 1 et 2)</t>
  </si>
  <si>
    <t xml:space="preserve">4. Transport et distribution en amont </t>
  </si>
  <si>
    <t>5. Déchets produits lors de l’exploitation</t>
  </si>
  <si>
    <t>6. Voyages d’affaires</t>
  </si>
  <si>
    <t>7. Déplacements domicile-travail des salariés</t>
  </si>
  <si>
    <t>8. Actifs loués en amont</t>
  </si>
  <si>
    <t>9. Acheminement en aval</t>
  </si>
  <si>
    <t>10. Transformation des produits vendus</t>
  </si>
  <si>
    <t>11. Utilisation des produits vendus</t>
  </si>
  <si>
    <t>12. Traitement en fin de vie des produits vendus</t>
  </si>
  <si>
    <t>13. Actifs loués en aval</t>
  </si>
  <si>
    <t>15. Investissements</t>
  </si>
  <si>
    <t>Émissions totales de GES du scope 3</t>
  </si>
  <si>
    <t>Émissions totales de GES des scopes 1, 2 et 3 (approche basée sur la localisation)</t>
  </si>
  <si>
    <t>Émissions totales de GES des scopes 1, 2 et 3 (approche basée sur le marché)</t>
  </si>
  <si>
    <t>C3 - Publication de la liste des principales actions que l'entreprise entend mettre en œuvre pour atteindre ses cibles</t>
  </si>
  <si>
    <t>C3 - Plan de transition pour les entreprises opérant dans des secteurs à fort impact climatique</t>
  </si>
  <si>
    <t>L'entreprise opère-t-elle dans des secteurs à fort impact ?</t>
  </si>
  <si>
    <t>Statut de la mise en œuvre d’un plan de transition en relation avec l’atténuation du changement climatique</t>
  </si>
  <si>
    <t>Description d’un plan de transition pour l’atténuation du changement climatique comprenant une explication de la manière dont il contribue à réduire les émissions de GES</t>
  </si>
  <si>
    <t>Date prévue d’adoption du plan de transition pour l’entreprise n’ayant pas encore adopté de plan de transition</t>
  </si>
  <si>
    <t>Année</t>
  </si>
  <si>
    <t>Mois</t>
  </si>
  <si>
    <t>Jour</t>
  </si>
  <si>
    <t>B3 - Intensité des émissions de gaz à effet de serre sur la base du chiffre d'affaires (en  tCO₂e)</t>
  </si>
  <si>
    <t>Intensité des émissions de GES des scopes 1 et 2 (approche basée sur la localisation)</t>
  </si>
  <si>
    <t>Intensité des émissions de GES des scopes 1 et 2 (approche basée sur le marché)</t>
  </si>
  <si>
    <t>Intensité des émissions totales de GES des scopes 1, 2 et 3 (approche basée sur la localisation)</t>
  </si>
  <si>
    <t>Intensité des émissions totales de GES des scopes 1, 2 et 3 (approche basée sur le marché)</t>
  </si>
  <si>
    <t>Pollution de l'air, de l'eau et des sols</t>
  </si>
  <si>
    <t>L’entreprise est-elle déjà tenue, en vertu de la législation ou d’autres réglementations nationales, de déclarer aux autorités compétentes ses émissions de polluants, ou les déclare-t-elle déjà volontairement conformément à un système de management environnemental ?</t>
  </si>
  <si>
    <t>Cette information est-elle déjà accessible au public ?</t>
  </si>
  <si>
    <t>Veuillez fournir le lien URL pertinent ou l’hyperlien indiquant où ces informations sont publiées.</t>
  </si>
  <si>
    <t>Veuillez sélectionner l'unité utilisée pour reporter la quantité (c.-à-d. soit en kg ou en tonne)</t>
  </si>
  <si>
    <t>ID de ligne</t>
  </si>
  <si>
    <t>Polluant</t>
  </si>
  <si>
    <t>Rejets dans l'air</t>
  </si>
  <si>
    <t>Rejets dans l'eau</t>
  </si>
  <si>
    <t>Rejets dans les sols</t>
  </si>
  <si>
    <t>B5 – Sites situés dans des zones sensibles sur le plan de la biodiversité</t>
  </si>
  <si>
    <t>L'entreprise dispose-t-elle de sites situés dans ou à proximité de zones sensibles sur le plan de la biodiversité ?</t>
  </si>
  <si>
    <t>Veuillez sélectionner l’unité utilisée pour la superficie (c.-à-d. soit en hectares, soit en m²) :</t>
  </si>
  <si>
    <t>ID du site associé (sélectionnez un ID parmi les sites déclarés dans B1)</t>
  </si>
  <si>
    <t>Localisation du site à proximité d'une zone de biodiversité - rempli automatiquement à partir de B1</t>
  </si>
  <si>
    <t>Superficie (en hectares ou en m² selon la sélection ci-dessus)</t>
  </si>
  <si>
    <t>Site situé dans une zone sensible sur le plan de la biodiversité</t>
  </si>
  <si>
    <t>Site situé à proximité d'une zone sensible sur le plan de la biodiversité</t>
  </si>
  <si>
    <t>B5 - Biodiversité - Utilisation des terres</t>
  </si>
  <si>
    <t>Type d’affectation des terres</t>
  </si>
  <si>
    <t>Zone</t>
  </si>
  <si>
    <t>Surface totale imperméabilisée</t>
  </si>
  <si>
    <t>Surface totale respectueuse de la nature sur le site</t>
  </si>
  <si>
    <t>Surface totale respectueuse de la nature hors site</t>
  </si>
  <si>
    <t>Utilisation totale des terres</t>
  </si>
  <si>
    <t>B6 – Prélèvements d'eau</t>
  </si>
  <si>
    <t>Quantité totale d'eau prélevée sur tous les sites (mètres cubes m³)</t>
  </si>
  <si>
    <t>Quantité d’eau prélevée sur les sites qui se situent dans des zones exposées à un stress hydrique élevé (mètres cubes m³)</t>
  </si>
  <si>
    <t>B6 - Consommation d'eau</t>
  </si>
  <si>
    <t>L'entreprise a-t-elle mis en place des processus de production qui consomment beaucoup d’eau (par ex. des procédés d’énergie thermique tels que le séchage ou la production d’électricité, la production de biens, l’irrigation agricole, etc.) ?</t>
  </si>
  <si>
    <t>Rejet d’eau provenant des processus de production de l’entreprise (m³)</t>
  </si>
  <si>
    <t>Consommation totale d’eau (m³)</t>
  </si>
  <si>
    <t>B7 – Description des principes de l’économie circulaire</t>
  </si>
  <si>
    <t>L’entreprise applique les principes de l’économie circulaire</t>
  </si>
  <si>
    <t>Description de la manière dont elle applique ces principes</t>
  </si>
  <si>
    <t>B7 - Déchets produits</t>
  </si>
  <si>
    <t>Type de déchets</t>
  </si>
  <si>
    <t>Unité de mesure</t>
  </si>
  <si>
    <t>Déchets destinés à être recyclés ou réutilisés</t>
  </si>
  <si>
    <t>Déchets destinés à être éliminés</t>
  </si>
  <si>
    <t>Quantité de déchets recyclés, réutilisés et destinés à être éliminés</t>
  </si>
  <si>
    <t>Total des déchets dangereux produits (en masse)</t>
  </si>
  <si>
    <t>Quantité totale de déchets produits</t>
  </si>
  <si>
    <t>Total des déchets non dangereux produits (en masse)</t>
  </si>
  <si>
    <t>Total des déchets produits (en masse)</t>
  </si>
  <si>
    <t>Total des déchets dangereux produits (en volume)</t>
  </si>
  <si>
    <t>mètres cubes (m³)</t>
  </si>
  <si>
    <t>Total des déchets non dangereux produits (en volume)</t>
  </si>
  <si>
    <t>Total des déchets produits (en volume)</t>
  </si>
  <si>
    <t>B7 – Flux massique annuel des matières pertinentes utilisées</t>
  </si>
  <si>
    <t>L’entreprise opère-t-elle dans un secteur qui utilise des flux de matières importants (par ex. fabrication, construction, emballage ou autres) ?</t>
  </si>
  <si>
    <t xml:space="preserve">  Nom de la matières clé </t>
  </si>
  <si>
    <t>Total du flux massique annuel des matières pertinentes utilisées (masse en kg)</t>
  </si>
  <si>
    <t>kilogrammes (kg)</t>
  </si>
  <si>
    <t>Total du flux massique annuel des matières pertinentes utilisées (volume en m³)</t>
  </si>
  <si>
    <t>L’entreprise a-t-elle recensé des aléas liés au changement climatique et des événements liés à la transition climatique créant des risques bruts liés au changement climatique pour l’entreprise ?</t>
  </si>
  <si>
    <t>Description des aléas liés au changement climatique et des événements liés à la transition climatique</t>
  </si>
  <si>
    <t>Information sur comment elle a évalué l’exposition et la sensibilité de ses actifs, de ses activités et de sa chaîne de valeur à ces aléas et à ces événements liés à la transition</t>
  </si>
  <si>
    <t>Horizons temporels des aléas liés au changement climatique et des événements liés à la transition climatique recensés</t>
  </si>
  <si>
    <t>Indication si elle a entrepris des actions d’adaptation au changement climatique pour les aléas liés au changement climatique et les événements liés à la transition climatique</t>
  </si>
  <si>
    <t>Effets potentiels négatifs des risques climatiques susceptibles d’affecter ses performances financières ou ses activités à court, moyen ou long terme, en indiquant si elle estime que les risques sont élevés, moyens ou faibles</t>
  </si>
  <si>
    <t>Méthodologie de comptage des effectifs pour les informations ci-dessous (effectif ou équivalent temps plein lié à B1)</t>
  </si>
  <si>
    <t>Méthodologie de comptage des effectifs pour les informations ci-dessous (à la fin de la période de reporting ou en moyenne sur la période de reporting liée à B1)</t>
  </si>
  <si>
    <t>B8 –   Personnel – Caractéristiques générales  - Type de contrat</t>
  </si>
  <si>
    <t>Contrat de travail à durée indéterminée</t>
  </si>
  <si>
    <t>Contrat de travail à durée déterminée</t>
  </si>
  <si>
    <t>Nombre total de salariés (lié à B1)</t>
  </si>
  <si>
    <t>B8 –   Personnel – Caractéristiques générales  - Genre</t>
  </si>
  <si>
    <t>Homme</t>
  </si>
  <si>
    <t>Femme</t>
  </si>
  <si>
    <t>Autre</t>
  </si>
  <si>
    <t>Non communiqué</t>
  </si>
  <si>
    <t>B8 –   Personnel – Caractéristiques générales  - Pays d'emploi</t>
  </si>
  <si>
    <t>L'entreprise exerce-t-elle ses activités dans plus d'un pays ?</t>
  </si>
  <si>
    <t>B8 –   Personnel – Caractéristiques générales  - Taux de rotation des salariés</t>
  </si>
  <si>
    <t>Nombre de salariés ayant quitté l'entreprise pendant la période de reporting</t>
  </si>
  <si>
    <t>Nombre de salariés au début de la période de reporting</t>
  </si>
  <si>
    <t>Nombre de salariés à la fin de la période de reporting</t>
  </si>
  <si>
    <t xml:space="preserve">Taux de rotation des salariés [%] pendant la période de reporting
</t>
  </si>
  <si>
    <t>Nombre d'accidents du travail comptabilisables pendant la période de reporting</t>
  </si>
  <si>
    <t>Nombre d’heures travaillées par un salarié à temps plein au cours de l'année de référence</t>
  </si>
  <si>
    <t>Nombre total d’heures travaillées en un an par l’ensemble des salariés pendant la période de reporting</t>
  </si>
  <si>
    <t>Taux d’accidents du travail comptabilisables pendant la période de reporting</t>
  </si>
  <si>
    <t>Nombre de décès dus à des accidents du travail et à des problèmes de santé liés au travail</t>
  </si>
  <si>
    <t>B10 – Personnel – Rémunération, négociation collective et formation</t>
  </si>
  <si>
    <t>Les salariés perçoivent une rémunération égale ou supérieure au salaire minimal applicable, déterminé directement par la législation nationale sur le salaire minimum ou par une convention collective.</t>
  </si>
  <si>
    <t>Rémunération horaire brute moyenne des salariés hommes</t>
  </si>
  <si>
    <t>Rémunération horaire brute moyenne des salariés femmes</t>
  </si>
  <si>
    <t>Écart de rémunération en pourcentage entre les salariés femmes et hommes de l'entreprise [%]</t>
  </si>
  <si>
    <t>Nombre de salariés couverts par des conventions collectives</t>
  </si>
  <si>
    <t>Pourcentage des salariés couverts par des conventions collectives  [%]</t>
  </si>
  <si>
    <t>Nombre moyen d’heures de formation annuelles par salarié</t>
  </si>
  <si>
    <t>Nombre de salariés hommes au niveau de la direction</t>
  </si>
  <si>
    <t>Nombre de salariés femmes au niveau de la direction</t>
  </si>
  <si>
    <t>Ratio femmes/hommes au niveau de la direction pour la période de reporting</t>
  </si>
  <si>
    <t>Total des travailleurs indépendants sans personnel qui travaillent exclusivement pour l’entreprise</t>
  </si>
  <si>
    <t>Total des travailleurs temporaires mis à disposition par des entreprises exerçant principalement des activités liées à l’emploi</t>
  </si>
  <si>
    <t>C6 – Informations supplémentaires sur le personnel de l’entreprise – Politiques et procédures en matière de droits de l’homme</t>
  </si>
  <si>
    <t>L’entreprise dispose-t-elle d’un code de conduite ou d’une politique en matière de droits de l’homme pour son personnel ?</t>
  </si>
  <si>
    <t>Si oui, cela couvre-t-il :</t>
  </si>
  <si>
    <t>· travail des enfants</t>
  </si>
  <si>
    <t>· travail forcé</t>
  </si>
  <si>
    <t>· la traite des êtres humains</t>
  </si>
  <si>
    <t>· autre ? (si oui, veuillez préciser)</t>
  </si>
  <si>
    <t>Spécifiez d'autres types de contenus couverts par le code de conduite ou la politique en matière de droits de l'homme</t>
  </si>
  <si>
    <t>L’entreprise dispose-t-elle d’un mécanisme de traitement des plaintes pour son personnel ? </t>
  </si>
  <si>
    <t>L'entreprise a-t-elle des incidents confirmés au sein de son personnel ?</t>
  </si>
  <si>
    <t>Si oui, les incidents sont-ils liés à :</t>
  </si>
  <si>
    <t>Spécifiez d'autres droits de l’homme liés aux incidents confirmés</t>
  </si>
  <si>
    <t>Description des actions mises en œuvre pour gérer les incidents confirmés</t>
  </si>
  <si>
    <t>L’entreprise a-t-elle connaissance d’incidents confirmés impliquant des travailleurs de la chaîne de valeur, des communautés affectées, des consommateurs et des utilisateurs finaux ?</t>
  </si>
  <si>
    <t>Spécification de tout incident confirmé impliquant des travailleurs de la chaîne de valeur, des communautés affectées, des consommateurs et des utilisateurs finaux</t>
  </si>
  <si>
    <t>L'entreprise a-t-elle fait l'objet de condamnations et d'amendes au cours de la période de reporting ?</t>
  </si>
  <si>
    <t>Nombre total de condamnations pour infraction à la législation sur la lutte contre la corruption et les actes de corruption</t>
  </si>
  <si>
    <t>Montant total des amendes pour infraction à la législation sur la lutte contre la corruption et les actes de corruption</t>
  </si>
  <si>
    <t>C8 – Chiffre d’affaires de certains secteurs</t>
  </si>
  <si>
    <t>L’entreprise réalise-t-elle des revenus à partir de l’une des activités listées ci-dessous ?</t>
  </si>
  <si>
    <t>Montant monétaire en</t>
  </si>
  <si>
    <t>Chiffre d'affaires réalisé à partir des armes controversées (mines antipersonnel, armes à sous-munitions, armes chimiques et armes biologiques)</t>
  </si>
  <si>
    <t>Chiffre d'affaires réalisé à partir de la culture et la production de tabac</t>
  </si>
  <si>
    <t>Chiffre d'affaires réalisé à partir du charbon</t>
  </si>
  <si>
    <t>Chiffre d'affaires réalisé à partir du pétrole</t>
  </si>
  <si>
    <t>Chiffre d'affaires réalisé à partir du gaz</t>
  </si>
  <si>
    <t xml:space="preserve">	
Chiffre d'affaire total réalisé à partir du secteur des combustibles fossiles (charbon, pétrole et gaz) [c’est-à-dire qu'elle réalise un chiffre d'affaires sur la prospection, l’exploitation minière, l’extraction, la production, la transformation, le stockage, le raffinage ou la distribution, y compris le transport, l’entreposage et le commerce, de combustibles fossiles au sens de l’article 2, point 62), du règlement (UE) 2018/1999 du Parlement européen et du Conseil </t>
  </si>
  <si>
    <t>Chiffre d'affaires réalisé à partir de la production de produits chimiques</t>
  </si>
  <si>
    <t>C8 - Exclusion des indices de référence de l’Union européenne</t>
  </si>
  <si>
    <t>Les entreprises sont exclues des indices de référence « accord de Paris » de l'Union européenne si elles tirent :</t>
  </si>
  <si>
    <t>au moins 1 % de leur chiffre d’affaires de la prospection, de l'extraction, de la distribution ou du raffinage de houille et de lignite</t>
  </si>
  <si>
    <t>au moins 10 % de leur chiffre d’affaires de la prospection, de l'extraction, de la distribution ou du raffinage de combustibles liquides</t>
  </si>
  <si>
    <t>au moins 50 % de leur chiffre d’affaires de la prospection, de l'extraction, de la fabrication ou de la distribution de combustibles gazeux</t>
  </si>
  <si>
    <t>au moins 50 % de leur chiffre d’affaires d’activités de production d'électricité présentant une intensité d’émission de GES supérieure à 100 g CO₂e/kWh</t>
  </si>
  <si>
    <t>Aucun des éléments ci-dessus</t>
  </si>
  <si>
    <t>Les entreprises sont exclues des indices de référence « accord de Paris » de l’Union européenne</t>
  </si>
  <si>
    <t>L'entreprise dispose-t-elle d'un organe de gouvernance ?</t>
  </si>
  <si>
    <t>Nombre de femmes membres du conseil d'administration à la fin de la période de reporting</t>
  </si>
  <si>
    <t>Nombre d'hommes membres du conseil d'administration à la fin de la période de reporting</t>
  </si>
  <si>
    <t>Ratio de mixité au sein de l’organe de gouvernance</t>
  </si>
  <si>
    <t>CONVERTISSEUR DE CARBURANT</t>
  </si>
  <si>
    <t>AVERTISSEMENT :</t>
  </si>
  <si>
    <t>Ce convertisseur est destiné uniquement à illustrer comment la consommation d'énergie (en MWh) peut être calculée à partir de différents types de combustibles. L'EFRAG décline toute responsabilité quant à son contenu ou aux conséquences ou dommages directs, indirects ou accessoires résultant de l’utilisation de ce convertisseur de carburant.</t>
  </si>
  <si>
    <t>Veuillez noter que les valeurs usuelles du pouvoir calorifique net (PCN) et de la densité sont fournies pour chaque type de combustible. Toutefois, ces paramètres peuvent varier en fonction de facteurs tels que les réglementations nationales, les caractéristiques spécifiques des fournisseurs de combustibles ou d’autres circonstances. Il appartient donc aux utilisateurs de saisir ou d’ajuster manuellement les valeurs de PCN et de densité afin de refléter leur situation spécifique.</t>
  </si>
  <si>
    <t>De plus, les utilisateurs sont encouragés à déterminer le caractère renouvelable de chaque combustible sur la base des garanties d’origine, conformément à l’article 19 de la directive (UE) 2018/2001 relative à la promotion de l’utilisation de l’énergie produite à partir de sources renouvelables. Le caractère renouvelable indiqué par défaut pour chaque combustible correspond à une hypothèse usuelle et doit, le cas échéant, être ajusté en fonction de la situation géographique ou des circonstances particulières.</t>
  </si>
  <si>
    <t>Indique que la cellule doit être remplie soit en sélectionnant une valeur dans la liste déroulante (par exemple, le type de carburant ou l’unité de mesure), soit en saisissant un montant.</t>
  </si>
  <si>
    <t>Type de carburant</t>
  </si>
  <si>
    <t>Montant</t>
  </si>
  <si>
    <t>État de la matière</t>
  </si>
  <si>
    <t>État renouvelable type</t>
  </si>
  <si>
    <t>Énergie calculée en MWh</t>
  </si>
  <si>
    <t>Utilisation du convertisseur de carburant :</t>
  </si>
  <si>
    <t>1. Dans la cellule A9, sélectionnez le carburant utilisé, en le recherchant ou en faisant défiler la liste affichée et en cliquant sur la cellule.</t>
  </si>
  <si>
    <t>2. Dans la cellule B9, sélectionnez l’unité de mesure utilisée</t>
  </si>
  <si>
    <t>3. Dans la cellule C9, sélectionnez la quantité de carburant utilisée.</t>
  </si>
  <si>
    <t>4. La cellule D9 affiche l'état de la matière pour le carburant sélectionné.</t>
  </si>
  <si>
    <t>5. La cellule E9 affiche le caractère renouvelable typique du carburant sélectionné.</t>
  </si>
  <si>
    <t>6. La cellule F9 affiche l'énergie produite, en méga wattheures (MWh), par la quantité de carburant spécifiée.</t>
  </si>
  <si>
    <t>7. La cellule A28 affiche l’énergie totale en mégawattheures (MWh).</t>
  </si>
  <si>
    <t>8. La cellule A31 affiche l’énergie renouvelable totale en mégawattheures (MWh).</t>
  </si>
  <si>
    <t>9. La cellule B31 affiche l’énergie non renouvelable totale en mégawattheures (MWh).</t>
  </si>
  <si>
    <t>10. Des notes complémentaires sont disponibles ci-dessous.</t>
  </si>
  <si>
    <t>Transférez les résultats totaux calculés dans la cellule B3 « Consommation d’énergie des carburants » du rapport.</t>
  </si>
  <si>
    <t>Consommation d’énergie totale [MWh]</t>
  </si>
  <si>
    <t>Énergie renouvelable totale [MWh]</t>
  </si>
  <si>
    <t>Consommation d’énergie non renouvelable [MWh]</t>
  </si>
  <si>
    <t>Notes complémentaires :</t>
  </si>
  <si>
    <t>Le convertisseur offre la possibilité de calculer simultanément jusqu’à 10 types de carburants différents. Pour ce faire, veuillez développer les colonnes masquées en utilisant l’icône « plus » située en haut du document.
Chaque convertisseur de carburant développé fonctionne exactement comme expliqué ci-dessus.
Il est important de noter que le calcul automatique effectué par le convertisseur de carburants utilise des valeurs de pouvoir calorifique net (PCN) et de densité typiques pour chaque type de combustible. Si l’entreprise est en mesure de fournir les PCN et densités spécifiques des combustibles utilisés, il est possible de calculer la consommation d’énergie par heure en MWh en intégrant ces valeurs spécifiques dans les formules automatisées de la feuille du convertisseur.
Ci-dessous, les formules sont fournies au cas où une solution de calcul non automatisée, utilisant des valeurs spécifiques, serait préférée à celle du convertisseur. Si vous devez convertir l’unité de mesure de vos valeurs spécifiques, veuillez utiliser le convertisseur d’unités de mesure.</t>
  </si>
  <si>
    <t>Consommation d'énergie par heure en MWh pour les combustibles solides :</t>
  </si>
  <si>
    <t>Énergie [MWh] = Masse [t] * PCN [MWh/t]</t>
  </si>
  <si>
    <t>Consommation d'énergie par heure en MWh pour les combustibles liquides :</t>
  </si>
  <si>
    <t>Masse [t] = Volume [L] * Densité [t/L]</t>
  </si>
  <si>
    <t>Énergie [MWh] = Masse [t] * [MWh/t]</t>
  </si>
  <si>
    <t>Consommation d'énergie par heure en MWh pour les combustibles gazeux :</t>
  </si>
  <si>
    <t>Masse [t] = Volume [m³] * Densité [t/m³]</t>
  </si>
  <si>
    <t>Énergie [MWh] = Masse [t] × PCN [MWh/t]</t>
  </si>
  <si>
    <t>Convertisseur d'unité de mesure</t>
  </si>
  <si>
    <t>Unité de mesure du convertisseur de masse</t>
  </si>
  <si>
    <t>Unité de mesure du convertisseur de volume</t>
  </si>
  <si>
    <t>Unité de mesure de la consommation d’énergie par heure</t>
  </si>
  <si>
    <t>Unité de mesure du convertisseur PCN</t>
  </si>
  <si>
    <t>Unité de mesure du convertisseur de densité</t>
  </si>
  <si>
    <t>Utilisation du convertisseur d'unités de mesure</t>
  </si>
  <si>
    <t>Étapes à suivre pour le tableau des masses :</t>
  </si>
  <si>
    <t xml:space="preserve">Dans la cellule B5 du tableau relatif au convertisseur d’unité de mesure de la masse, l'unité de mesure à convertir doit être insérée. 
</t>
  </si>
  <si>
    <t>Puis, dans la cellule B6, la quantité de masse peut être insérée.</t>
  </si>
  <si>
    <t>Enfin, dans la cellule D5, l’unité de mesure souhaitée doit être indiquée.</t>
  </si>
  <si>
    <t>Le résultat de la conversion sera affiché dans la cellule D6.</t>
  </si>
  <si>
    <t>Les étapes à suivre pour les autres tableaux (volume, consommation d’énergie, densité et PCN) sont les mêmes que pour le tableau des masses.</t>
  </si>
  <si>
    <t>Ci‑dessous sont indiquées toutes les conversions d’unités de mesure pour chaque tableau.</t>
  </si>
  <si>
    <t>▪ Unité de mesure du convertisseur de masse :</t>
  </si>
  <si>
    <t>▪ Unité de mesure du convertisseur de volume :</t>
  </si>
  <si>
    <t>▪ Unité de mesure du convertisseur d'énergie :</t>
  </si>
  <si>
    <t>▪ Unité de mesure du convertisseur de densité :</t>
  </si>
  <si>
    <t>▪ Unité de mesure du convertisseur PCN :</t>
  </si>
  <si>
    <t>INCOMPLET</t>
  </si>
  <si>
    <t>COMPLET</t>
  </si>
  <si>
    <t>VALEUR MANQUANTE</t>
  </si>
  <si>
    <t>ERREUR</t>
  </si>
  <si>
    <t>VALEUR INCOHÉRENTE</t>
  </si>
  <si>
    <t>ERREUR + VALEUR INCOHÉRENTE</t>
  </si>
  <si>
    <t>ERREUR + VALEUR MANQUANTE + VALEUR INCOHÉRENTE</t>
  </si>
  <si>
    <t>ERREUR + VALEUR MANQUANTE</t>
  </si>
  <si>
    <t>VALEUR MANQUANTE + VALEUR INCOHÉRENTE</t>
  </si>
  <si>
    <t>URL INVALIDE</t>
  </si>
  <si>
    <t>ℹ️ Combustible liquide : veuillez sélectionner une unité de mesure parmi m³ et L</t>
  </si>
  <si>
    <t>ℹ️ Combustible solide : veuillez choisir une unité de mesure parmi Gg, t, Kg et g</t>
  </si>
  <si>
    <t>ℹ️ Combustible gazeux : veuillez sélectionner une unité de mesure parmi m³ et L</t>
  </si>
  <si>
    <t>ℹ️ L'identifiant de l'entreprise est un ID unique qui permet d'identifier l'entreprise ayant fourni les informations. La norme VSME ne requiert aucun identifiant spécifique. Un identifiant d'entreprise est nécessaire pour le reporting numérique.</t>
  </si>
  <si>
    <t>ℹ️ Si un message VALEUR INCOHERENTE apparaît à droite, veuillez vous assurer que la date de fin de la période de reporting est postérieure à la date de début de la période de reporting.</t>
  </si>
  <si>
    <t>ℹ️Les listes peuvent être déroulées à l’aide du bouton plus [+] situé à gauche. Si le nombre de lignes n’est pas suffisant, des lignes supplémentaires peuvent être ajoutées en cliquant avec le bouton droit sur la deuxième ligne et en sélectionnant « Insérer une ligne ».</t>
  </si>
  <si>
    <t>ℹ️ Lorsque "autre" est choisi comme forme juridique de l'entreprise, veuillez remplir la ligne ci-dessous</t>
  </si>
  <si>
    <t>ℹ️ Veuillez sélectionner un code NACE plutôt qu'une catégorie, sinon un message d'ERREUR apparaîtra.</t>
  </si>
  <si>
    <t>ℹ️ Veuillez faire attention à séparer chaque numéro de rue et numéro de maison en utilisant le symbole slash "/" et non la virgule ","</t>
  </si>
  <si>
    <t>ℹ️ Veuillez noter que la formule présente dans cette cellule peut être écrasée si l'entité souhaite fournir directement la valeur.</t>
  </si>
  <si>
    <t xml:space="preserve">ℹ️ Les catégories du scope 3 selon le protocole GES (GHG Protocol) peuvent aider à calculer les émissions totales de GES du scope 3. Si l'entreprise le souhaite, elle peut directement fournir les émissions totales de GES du scope 3 dans la cellule correspondante. </t>
  </si>
  <si>
    <t>ℹ️ Si une validation liée à une incohérence de valeur s'affiche, veuillez sélectionner un identifiant de site différent de ceux précédemment sélectionnés.</t>
  </si>
  <si>
    <t xml:space="preserve">ℹ️ Veuillez sélectionner un Type de déchet (dangereux ou non dangereux) plutôt qu'une catégorie, sinon un message d'ERREUR apparaîtra."
</t>
  </si>
  <si>
    <t>ℹ️ Veuillez vous assurer que le nombre total de salariés est identique à celui indiqué dans la cellule E55 de la feuille « Informations générales »</t>
  </si>
  <si>
    <t>ℹ️ L'entreprise peut modifier la valeur de cette cellule car 2 000 heures est basé sur l'hypothèse qu'un travailleur à temps plein travaille 2 000 heures par an. Ce chiffre peut varier selon le pays ou le secteur, en fonction des règles nationales ou des conventions collectives</t>
  </si>
  <si>
    <t>ℹ️ Consultez le site web de l’EFRAG pour une liste non exhaustive de calculateurs de GES.</t>
  </si>
  <si>
    <t>French - Reviewed translation by French Standard Setter</t>
  </si>
  <si>
    <t>fr</t>
  </si>
  <si>
    <t>Italian - Reviewed translation by Italian Standard Setter</t>
  </si>
  <si>
    <t>it</t>
  </si>
  <si>
    <t>da</t>
  </si>
  <si>
    <t>· B1 – Base de préparation</t>
  </si>
  <si>
    <t>· B2 – Pratiques, politiques et initiatives futures en vue de la transition vers une économie plus durable</t>
  </si>
  <si>
    <t>· B3 – Énergie et émissions de gaz à effet de serre</t>
  </si>
  <si>
    <t>· B4 - Pollution de l’air, de l’eau et des sols</t>
  </si>
  <si>
    <t xml:space="preserve">· B5 – Biodiversité
</t>
  </si>
  <si>
    <t>· B6 – Eau</t>
  </si>
  <si>
    <t>· B7 - Utilisation des ressources, économie circulaire et gestion des déchets</t>
  </si>
  <si>
    <t>· B8 – Personnel – Caractéristiques générales</t>
  </si>
  <si>
    <t>· B9 – Personnel – Santé et sécurité</t>
  </si>
  <si>
    <t>· B10 –   Personnel – Rémunération, négociation collective et formation</t>
  </si>
  <si>
    <t>· B11 – Condamnations et amendes pour corruption et pots-de-vin</t>
  </si>
  <si>
    <t xml:space="preserve">· C1 – Stratégie : modèle économique et durabilité – initiatives associées
</t>
  </si>
  <si>
    <t>· C2 – Description des pratiques, politiques et initiatives futures en vue de la transition vers une économie plus durable</t>
  </si>
  <si>
    <t>· C3 –   Cibles de réduction des émissions de GES et transition climatique</t>
  </si>
  <si>
    <t>· C4 – Risques climatiques</t>
  </si>
  <si>
    <t>· C5 – Caractéristiques supplémentaires (générales) du personnel</t>
  </si>
  <si>
    <t>· C6 – Informations supplémentaires sur le personnel – Politiques et procédures en matière de droits de l’homme</t>
  </si>
  <si>
    <t>· C7 – Incidents graves en matière de droits de l’homme</t>
  </si>
  <si>
    <t>· C8 – Chiffre d’affaires de certains secteurs et exclusion des indices de référence de l’Union européenne</t>
  </si>
  <si>
    <t>· C9 – Ratio de mixité au sein de l’organe de gouvernance</t>
  </si>
  <si>
    <t xml:space="preserve">· Publication de toute autre information générale et/ou spécifique à l'entité sur la période de reporting
</t>
  </si>
  <si>
    <t>· Publication de toute autre information environnementale et/ou spécifique à l'entité</t>
  </si>
  <si>
    <t>· Publication de toute autre information sociale et/ou spécifique à l'entité</t>
  </si>
  <si>
    <t>· Publication de toute autre information relative à la gouvernance et/ou spécifique à l'entité</t>
  </si>
  <si>
    <t>· prévention des accidents</t>
  </si>
  <si>
    <t>▪ Maßeinheit des Massenumrechners:</t>
  </si>
  <si>
    <t>▪ Maßeinheit des Volumenumrechners:</t>
  </si>
  <si>
    <t>▪ Maßeinheit des Energieumrechners:</t>
  </si>
  <si>
    <t>▪ Maßeinheit des Dichteumrechners:</t>
  </si>
  <si>
    <t>▪ Maßeinheit des NCV-Umrechners:</t>
  </si>
  <si>
    <t>· B1 - Ataskaitos rengimo pagrindas</t>
  </si>
  <si>
    <t>· B2 - Praktikos, politikos ir būsimos iniciatyvos pereinant prie tvaresnės ekonomikos</t>
  </si>
  <si>
    <t>· B4 - Oro, vandens ir dirvožemio tarša</t>
  </si>
  <si>
    <t xml:space="preserve">· B5 - Biologinė įvairovė
</t>
  </si>
  <si>
    <t>· B6 – Vanduo</t>
  </si>
  <si>
    <t>· B8 - Darbuotojai - Bendrieji rodikliai</t>
  </si>
  <si>
    <t>· B9 - Darbuotojai - Sveikata ir sauga</t>
  </si>
  <si>
    <t>· B10 - Darbuotojai – Atlyginimas, kolektyvinės derybos ir mokymai</t>
  </si>
  <si>
    <t>· B11 - Nuosprendžiai ir baudos už korupciją ir kyšininkavimą</t>
  </si>
  <si>
    <t>· C1 - Strategija: verslo modelis ir su tvarumu susijusios iniciatyvos</t>
  </si>
  <si>
    <t>· C2 - Perėjimo prie tvaresnės ekonomikos praktikų, politikos ir būsimų iniciatyvų aprašymas</t>
  </si>
  <si>
    <t>· C3 – ŠESD emisijų mažinimo tikslai ir klimato perėjimo planas</t>
  </si>
  <si>
    <t>· C4 – Klimato rizikos</t>
  </si>
  <si>
    <t>· C6 - Papildoma darbuotojų informacija - Žmogaus teisių politika ir procesai</t>
  </si>
  <si>
    <t>· C7 - Dideli neigiami incidentai žmogaus teisių srityje</t>
  </si>
  <si>
    <t>· C8 – Pajamos iš tam tikrų veiklų ir neįtraukimai į ES lyginamuosius etalonus</t>
  </si>
  <si>
    <t>· C9 - Lyčių įvairovės rodiklis valdymo organe</t>
  </si>
  <si>
    <t>· kita? (TAIP/NE; jei taip, nurodykite)</t>
  </si>
  <si>
    <t>▪ Masės konverterio matavimo vienetas</t>
  </si>
  <si>
    <t>▪ Tūrio konverterio matavimo vienetas</t>
  </si>
  <si>
    <t>▪ Energijos konverterio matavimo vienetas</t>
  </si>
  <si>
    <t>▪ Tankio konverterio matavimo vienetas</t>
  </si>
  <si>
    <t>▪ NVC konverterio matavimo vienetas</t>
  </si>
  <si>
    <t>· Informacje o sprawozdaniu niezbędne dla XBRL</t>
  </si>
  <si>
    <t>· Informacje o poprzednim okresie sprawozdawczym</t>
  </si>
  <si>
    <t>· B1 – Podstawa sporządzenia</t>
  </si>
  <si>
    <t>· B2 – Praktyki, polityki i przyszłe inicjatywy na rzecz przejścia na bardziej zrównoważoną gospodarkę</t>
  </si>
  <si>
    <t>· B3 – Energia i emisje gazów cieplarnianych</t>
  </si>
  <si>
    <t>· B4 – Zanieczyszczenie powietrza, wody i gleby</t>
  </si>
  <si>
    <t>· B5 – Bioróżnorodność</t>
  </si>
  <si>
    <t>· B6 – Woda</t>
  </si>
  <si>
    <t>· B7 – Wykorzystanie zasobów, gospodarka o obiegu zamkniętym i gospodarowanie odpadami</t>
  </si>
  <si>
    <t>· B8 – Zasoby pracownicze – Charakterystyka ogólna</t>
  </si>
  <si>
    <t>· B9 - Zasoby pracownicze – Bezpieczeństwo i higiena pracy</t>
  </si>
  <si>
    <t>· B10 – Zasoby pracownicze – wynagrodzenie, rokowania zbiorowe i szkolenia</t>
  </si>
  <si>
    <t>· B11 – Wyroki skazujące i grzywny za naruszenie przepisów antykorupcyjnych i przepisów w sprawie zwalczania przekupstwa</t>
  </si>
  <si>
    <t>· C1 – Strategia: model biznesowy i zrównoważony rozwój – powiązane inicjatywy</t>
  </si>
  <si>
    <t>· C2 – Opis praktyk, polityk i przyszłych inicjatyw na rzecz przejścia na bardziej zrównoważoną gospodarkę</t>
  </si>
  <si>
    <t>· C3 – Cele redukcji emisji gazów cieplarnianych i transformacja klimatyczna</t>
  </si>
  <si>
    <t>· C4 – Ryzyka związane z klimatem</t>
  </si>
  <si>
    <t>· C5 – Dodatkowa (ogólna) charakterystyka pracowników</t>
  </si>
  <si>
    <t>· C6 – Dodatkowe informacje dotyczące własnych zasobów pracowniczych – polityki i procesy dotyczące praw człowieka</t>
  </si>
  <si>
    <t>· C7 – Poważne incydenty dotyczące praw człowieka</t>
  </si>
  <si>
    <t>· C8 – Przychody z niektórych rodzajów działalności i wykluczenie z unijnych wskaźników referencyjnych</t>
  </si>
  <si>
    <t>· C9 - Wskaźnik zróżnicowania organu zarządzającego pod względem płci</t>
  </si>
  <si>
    <t>· Ujawnienie innych informacji ogólnych i/lub specyficznych dla jednostki dotyczących okresu sprawozdawczego</t>
  </si>
  <si>
    <t>· Ujawnienie innych informacji środowiskowych i/lub informacji środowiskowych specyficznych dla jednostki</t>
  </si>
  <si>
    <t>· Ujawnienie innych informacji społecznych i/lub informacji społecznych specyficznych dla jednostki</t>
  </si>
  <si>
    <t>· Ujawnienie innych informacji odnoszących się do ładu korporacyjnego i/lub informacji odnoszących się do ładu korporacyjnego specyficznych dla jednostki</t>
  </si>
  <si>
    <t>· praca dzieci</t>
  </si>
  <si>
    <t>· Vaikų darbas</t>
  </si>
  <si>
    <t>· praca przymusowa</t>
  </si>
  <si>
    <t>· handel ludźmi</t>
  </si>
  <si>
    <t>· dyskryminacja</t>
  </si>
  <si>
    <t>· zapobieganie wypadkom</t>
  </si>
  <si>
    <t>· inne kwestie? (TAK/NIE – jeśli tak, jakie?)</t>
  </si>
  <si>
    <t>· prevenção de acidentes</t>
  </si>
  <si>
    <t>· outros? (SIM/NÃO — em caso afirmativo, especificar)</t>
  </si>
  <si>
    <t>· Divulgação de quaisquer outras informações gerais e/ou específicas da entidade sobre o período de relato</t>
  </si>
  <si>
    <t>· Divulgação de quaisquer outras informações ambientais e/ou de informações ambientais específicas da entidade</t>
  </si>
  <si>
    <t>· Divulgação de quaisquer outras informações sociais e/ou de informações sociais específicas da entidade</t>
  </si>
  <si>
    <t>· Divulgação de quaisquer outras informações de governação e/ou de informações de governação específicas da entidade</t>
  </si>
  <si>
    <t>· Información sobre el periodo de reporte anterior</t>
  </si>
  <si>
    <t>· B1 – Base para la elaboración</t>
  </si>
  <si>
    <t>· B2 – Prácticas, políticas e iniciativas futuras para la transición hacia una economía más sostenible</t>
  </si>
  <si>
    <t>· B3 - Energía y emisiones de gases de efecto invernadero</t>
  </si>
  <si>
    <t>· B4 – Contaminación de la atmósfera, del agua y del suelo</t>
  </si>
  <si>
    <t>· B5 – Biodiversidad</t>
  </si>
  <si>
    <t>· B6 – Agua</t>
  </si>
  <si>
    <t>· B8 – Trabajadores – Características generales</t>
  </si>
  <si>
    <t>· B9 – Trabajadores – Salud y seguridad</t>
  </si>
  <si>
    <t>· B10 – Trabajadores – Retribución, negociación colectiva y formación</t>
  </si>
  <si>
    <t>· B11 – Condenas y multas por corrupción y soborno</t>
  </si>
  <si>
    <t>· C5 – Características (generales) adicionales de los trabajadores</t>
  </si>
  <si>
    <t>· C6 – Información adicional sobre el personal propio – Políticas y procesos en materia de derechos humanos</t>
  </si>
  <si>
    <t>· C8 – Ingresos de determinadas actividades y exclusión de los índices de referencia de la UE</t>
  </si>
  <si>
    <t>· C9 – Índice de diversidad de género en el órgano de gobierno</t>
  </si>
  <si>
    <t>· Divulgación de cualquier otra información general y/o específica de la entidad sobre el período de informe</t>
  </si>
  <si>
    <t>· Divulgación de cualquier otra información ambiental y/o información ambiental específica de la entidad</t>
  </si>
  <si>
    <t>· Divulgación de cualquier otra información social y/o información social específica de la entidad</t>
  </si>
  <si>
    <t>1.1.1</t>
  </si>
  <si>
    <t>Nome del soggetto che redige la relazione</t>
  </si>
  <si>
    <t>Identificatore del soggetto</t>
  </si>
  <si>
    <t>Codice di identificazione del soggetto</t>
  </si>
  <si>
    <t>Valuta della relazione</t>
  </si>
  <si>
    <t>Separatore decimale</t>
  </si>
  <si>
    <t>Periodo di riferimento</t>
  </si>
  <si>
    <t>Relazione generata</t>
  </si>
  <si>
    <t>Tutte le informative sono relative al periodo di riferimento sopra indicato, a meno che non sia specificato diversamente.</t>
  </si>
  <si>
    <t>Sommario</t>
  </si>
  <si>
    <t>Questa relazione contiene</t>
  </si>
  <si>
    <t>Versione:</t>
  </si>
  <si>
    <t>Data di pubblicazione:</t>
  </si>
  <si>
    <t>Punto di accesso della tassonomia:</t>
  </si>
  <si>
    <t>Seleziona la lingua di visualizzazione del modello:</t>
  </si>
  <si>
    <t>Titolo principale della relazione</t>
  </si>
  <si>
    <t xml:space="preserve">Relazione sulla sostenibilità
</t>
  </si>
  <si>
    <t xml:space="preserve">Sottotitolo della relazione
</t>
  </si>
  <si>
    <t>Redatto in conformità al principio volontario di rendicontazione di sostenibilità per le piccole e medie imprese (PMI) non quotate (VSME), pubblicato dalla Commissione Europea il 30 luglio 2025.</t>
  </si>
  <si>
    <t>Modello Digitale VSME</t>
  </si>
  <si>
    <t>Lo scopo di questo modello digitale è illustrare come la rendicontazione VSME può essere implementata in un modello digitale. Il modello riflette la Raccomandazione VSME pubblicata dalla Commissione Europea il 30 luglio 2025. Il modello è accompagnato da una tassonomia digitale VSME XBRL, che rappresenta il modello dati digitale delle informative ed è disponibile sul sito web di EFRAG. Il VSME richiede la divulgazione di informazioni comparative sulle metriche (paragrafo 12). Questo modello consente la rendicontazione per un solo periodo di riferimento. Pertanto, potrebbe essere utilizzato solo per la rendicontazione del primo anno. Si prevede che le soluzioni di rendicontazione consentiranno l'aggiornamento dei periodi di riferimento, che fornirà automaticamente le necessarie informazioni comparative.
Questo modello può essere utilizzato per l'immissione e la convalida dei dati. Utilizzando un convertitore XBRL sul sito web di EFRAG, può essere salvato come relazione XBRL, in un formato dati libero e a scelta. Intervalli denominati Excel vengono utilizzati per estrarre le informazioni. Le celle di valore vuote e che non contengono alcun dato (né testo né numero) non saranno considerate come compilate e non saranno incluse nella relazione XBRL quando si utilizza il convertitore Excel-to-XBRL.
Alcuni menu a tendina nel VSME hanno più di 100 voci (ad esempio i codici NACE sotto B1, l'elenco degli inquinanti sotto B4, l'elenco dei rifiuti sotto B7). Per cercare nell'elenco, gli utilizzatori possono semplicemente iniziare a digitare parole chiave di ricerca nella cella.
Se viene visualizzato un avviso di sicurezza, si prega di selezionare "Abilita contenuto" per consentire il calcolo automatico delle coordinate GPS per l'elenco dei siti sotto la voce B1. Nessun contenuto diverso dall'indirizzo inserito sarà pubblicato su Internet e i contenuti condivisi con il fornitore possono essere consultati nella Politica d'Uso di Nominatim (Politica di Geocodifica) e nella Politica sulla Privacy.
Tutti i materiali sviluppati dal Segretariato EFRAG sono rilasciati gratuitamente e come software open source (licenza MIT), il che permetterà a qualsiasi parte interessata di migliorarli ulteriormente e integrarli in soluzioni commerciali. Tuttavia, nel rispetto delle condizioni della licenza, il riferimento a EFRAG deve essere menzionato dai fornitori di tali soluzioni commerciali. È possibile consultare la Licenza MIT nel foglio specifico.
Se si desidera segnalare un problema con il Modello Digitale VSME o con il Convertitore da Modello Digitale a XBRL, si prega di farlo creando un problema nel progetto GitHub.</t>
  </si>
  <si>
    <t>Come usarlo:</t>
  </si>
  <si>
    <t>0. Fornire le informazioni obbligatorie per poter generare la rendicontazione VSME e XBRL.</t>
  </si>
  <si>
    <t>1. Compila le informative sui quattro fogli di lavoro (Informazioni Generali, Informative Ambientali, Informative Sociali, Informative sulla Governance) nelle celle bianche delimitate da un bordo nero. Non introdurre informazioni al di fuori di tali celle. La ricerca nei menu a tendina può essere effettuata digitando nella cella. Suggerimenti (messaggi di input) sono mostrati in diverse celle durante la selezione.</t>
  </si>
  <si>
    <t>2. Trova maggiori informazioni sugli obblighi di informativa effettivi nel principio VSME e negli orientamenti correlati collegati a ciascuna cella. Divulgazioni aggiuntive o specifiche per l'entità possono essere fornite in ogni casella di testo alla fine di ciascun foglio di lavoro.</t>
  </si>
  <si>
    <t>3. Per tabelle aperte come l'Elenco delle imprese figlie/siti, si prega di espandere i gruppi cliccando sull'icona più [+] sul lato sinistro. Se sono necessarie altre righe, possono essere aggiunte inserendole tra la prima e l'ultima riga. Gli ID delle righe nelle tabelle aperte devono rimanere univoci per ogni tabella.</t>
  </si>
  <si>
    <t>4. Convalidare i dati inseriti controllando lo stato di convalida. La relazione è considerata incompleta o errata se la convalida fallisce, il che potrebbe comportare una relazione XBRL non valida.</t>
  </si>
  <si>
    <t>5. Converti questo modello in una relazione Inline XBRL (o XBRL-JSON, XBRL-CSV), utilizzando questo convertitore online. Presta attenzione alla validazione XBRL eseguita dal validatore.</t>
  </si>
  <si>
    <t>6. L'impresa può inoltre caricare la relazione su archivi pubblici o su una pagina web.</t>
  </si>
  <si>
    <t>Indice colore dello sfondo della cella:</t>
  </si>
  <si>
    <t>Principi Generali</t>
  </si>
  <si>
    <t>Indica che l'informativa proviene dai principi generali del VSME.</t>
  </si>
  <si>
    <t>Modulo base</t>
  </si>
  <si>
    <t>Indica che l'informativa proviene dal Modulo base del VSME.</t>
  </si>
  <si>
    <t>Modulo Onnicomprensivo</t>
  </si>
  <si>
    <t>Indica che l'informativa proviene dal Modulo Onnicomprensivo del VSME.</t>
  </si>
  <si>
    <t>Indica che la cella è calcolata automaticamente e che non è richiesta alcuna immissione di dati.</t>
  </si>
  <si>
    <t>Indica che l'elemento di informativa (spesso una condizione) non sarà incluso nella relazione VSME e nella relazione digitale XBRL. Queste celle sono fornite per facilitare il completamento dell'informativa, in quanto attivano l'applicabilità dell'informativa oppure consentono il calcolo automatico dell'informativa stessa. Se le celle gialle non vengono utilizzate per calcolare un valore, il totale da riportare può essere inserito manualmente, sovrascrivendo la formula.</t>
  </si>
  <si>
    <t>Indica che non è richiesto alcun inserimento di dati a meno che nella stessa informativa non vengano selezionate determinate logiche. Quando una di queste logiche viene selezionata, allora questa cella diventerà bianca.</t>
  </si>
  <si>
    <t>Validazione VALORE MANCANTE/ERRORE/INCOERENZA DI VALORE/URL NON VALIDO</t>
  </si>
  <si>
    <t>Indica che l'inserimento dei dati è errato in termini di formato oppure che mancano alcune informazioni necessarie per una corretta rendicontazione dell'informativa.</t>
  </si>
  <si>
    <t>Validazione OK</t>
  </si>
  <si>
    <t>Indica che l'immissione dei dati è corretta e l'impresa può procedere con la successiva informativa.</t>
  </si>
  <si>
    <t>Non è possibile inserire alcun valore nella cella.</t>
  </si>
  <si>
    <t>Le liste possono essere espanse utilizzando il pulsante più [+] a sinistra. Se il numero di righe non è sufficiente, è possibile aggiungere ulteriori righe facendo clic con il tasto destro sulla seconda riga e selezionando "Inserisci riga".</t>
  </si>
  <si>
    <t>EFRAG è finanziata dall'Unione Europea attraverso il Programma per il Mercato Unico, al quale partecipano anche i paesi SEE-SEEFTA (Norvegia, Islanda e Liechtenstein), nonché il Kosovo. Le opinioni e i punti di vista espressi sono tuttavia soltanto quelli dell'autore o degli autori e non riflettono necessariamente quelli dell'Unione Europea, della Commissione Europea o dei paesi che partecipano al Programma per il Mercato Unico. Né l'Unione Europea, né la Commissione Europea, né i paesi partecipanti al Programma per il Mercato Unico possono essere ritenuti responsabili per queste opinioni. © 2025 EFRAG Tutti i diritti riservati.</t>
  </si>
  <si>
    <t>Riproduzione e diritti d'uso sono severamente limitati. Per ulteriori dettagli, contattare efragsecretariat@efrag.org</t>
  </si>
  <si>
    <t>Stato complessivo di convalida</t>
  </si>
  <si>
    <t>Il raggruppamento dei contenuti segue il quadro del modello</t>
  </si>
  <si>
    <t>Stato di convalida specifico del contenuto</t>
  </si>
  <si>
    <t xml:space="preserve">Informazioni generali
</t>
  </si>
  <si>
    <t>· Informazioni sulla relazione necessarie per XBRL</t>
  </si>
  <si>
    <t>· Informazioni sul periodo di riferimento precedente</t>
  </si>
  <si>
    <t>· B1 – Criteri per la redazione</t>
  </si>
  <si>
    <t>Criteri per la redazione e informazioni generali sull'impresa</t>
  </si>
  <si>
    <t>Elenco delle imprese figlie</t>
  </si>
  <si>
    <t xml:space="preserve">Informativa sulla/e certificazione/i o marchio/i di sostenibilità
</t>
  </si>
  <si>
    <t>Elenco di sito(i)</t>
  </si>
  <si>
    <t>· B2 - Pratiche, politiche e iniziative future per la transizione verso un'economia più sostenibile</t>
  </si>
  <si>
    <t>Pratiche, politiche e iniziative future per la transizione verso un'economia più sostenibile</t>
  </si>
  <si>
    <t>Informative specifiche per cooperative</t>
  </si>
  <si>
    <t>Informative ambientali</t>
  </si>
  <si>
    <t>· B3 - Energia ed emissioni di gas a effetto serra</t>
  </si>
  <si>
    <t>Totale consumo di energia (in MWh)</t>
  </si>
  <si>
    <t>Ripartizione del consumo di energia (in MWh)</t>
  </si>
  <si>
    <t>Emissioni stimate di gas a effetto serra considerando il Greenhouse Gas Protocol versione 2004 (in tCO2e)</t>
  </si>
  <si>
    <t>Intensità delle emissioni di gas a effetto serra per ricavi delle vendite e delle prestazioni</t>
  </si>
  <si>
    <t>· B4 – Inquinamento di aria, acqua e suolo</t>
  </si>
  <si>
    <t>· B5 – Biodiversità</t>
  </si>
  <si>
    <t>Siti all'interno di un'area sensibile sotto il profilo della biodiversità</t>
  </si>
  <si>
    <t>Biodiversità - Uso del suolo</t>
  </si>
  <si>
    <t>· B6 –   Acque</t>
  </si>
  <si>
    <t xml:space="preserve">Prelievo idrico
</t>
  </si>
  <si>
    <t>Consumo idrico</t>
  </si>
  <si>
    <t>· B7 – Uso delle risorse, economia circolare e gestione dei rifiuti</t>
  </si>
  <si>
    <t>Descrizione dei principi dell'economia circolare</t>
  </si>
  <si>
    <t>Rifiuti generati</t>
  </si>
  <si>
    <t>Flusso di massa annuo dei materiali pertinenti utilizzati</t>
  </si>
  <si>
    <t>Informative sociali</t>
  </si>
  <si>
    <t>· B8 - Forza lavoro - Caratteristiche generali</t>
  </si>
  <si>
    <t>Tipo di contratto</t>
  </si>
  <si>
    <t>Genere</t>
  </si>
  <si>
    <t>Paese del contratto di lavoro</t>
  </si>
  <si>
    <t>Tasso di avvicendamento</t>
  </si>
  <si>
    <t>· B9 – Forza lavoro – Salute e sicurezza</t>
  </si>
  <si>
    <t xml:space="preserve">· B10 – Forza lavoro – Retribuzione, contrattazione collettiva e formazione
</t>
  </si>
  <si>
    <t>Informative sulla governance</t>
  </si>
  <si>
    <t>· B11 - Condanne e ammende per corruzione attiva e passiva</t>
  </si>
  <si>
    <t>Modulo onnicomprensivo</t>
  </si>
  <si>
    <t>· C1 - Strategia: modello aziendale e iniziative connesse alla sostenibilità</t>
  </si>
  <si>
    <t>· C2 – Descrizione delle pratiche, delle politiche e delle iniziative future per la transizione verso un'economia più sostenibile</t>
  </si>
  <si>
    <t>· C3 – Obiettivi di riduzione delle emissioni di gas a effetto serra e transizione climatica</t>
  </si>
  <si>
    <t>Obiettivi di riduzione delle emissioni di gas a effetto serra (in tCO2e)</t>
  </si>
  <si>
    <t>Informativa dell'elenco delle principali azioni che l'impresa intende attuare per conseguire i propri obiettivi</t>
  </si>
  <si>
    <t>Piano di transizione per le imprese che operano in settori ad alto impatto climatico</t>
  </si>
  <si>
    <t>· C4 - Rischi climatici</t>
  </si>
  <si>
    <t>· C5 – Altre caratteristiche (generali) della forza lavoro</t>
  </si>
  <si>
    <t>· C6 - Altre informazioni sulla forza lavoro propria – Politiche e procedure in materia di diritti umani</t>
  </si>
  <si>
    <t xml:space="preserve">· C7 - Incidenti gravi in materia di diritti umani
</t>
  </si>
  <si>
    <t>· C8 – Ricavi da determinate attività ed esclusione dagli indici di riferimento dell'UE</t>
  </si>
  <si>
    <t>Ricavi da determinate attività</t>
  </si>
  <si>
    <t>Esclusione dagli indici di riferimento dell'UE</t>
  </si>
  <si>
    <t>· C9 - Diversità di genere nell'organo di governance</t>
  </si>
  <si>
    <t>Ulteriori informative</t>
  </si>
  <si>
    <t>· Comunicazione di qualsiasi altra informazione generale e/o specifica per soggetto nel periodo di riferimento</t>
  </si>
  <si>
    <t>· Comunicazione di qualsiasi altra informazione ambientale e/o specifica per soggetto</t>
  </si>
  <si>
    <t>· Comunicazione di qualsiasi altra informazione sociale e/o specifica per soggetto</t>
  </si>
  <si>
    <t>· Comunicazione di qualsiasi altra informativa sulla governance e/o specifica per soggetto</t>
  </si>
  <si>
    <t>Riferimento al paragrafo</t>
  </si>
  <si>
    <t xml:space="preserve">Riferimento al paragrafo degli orientamenti
</t>
  </si>
  <si>
    <t>[Sempre da riportare]</t>
  </si>
  <si>
    <t>[Se applicabile]</t>
  </si>
  <si>
    <t>[Facoltà (facoltativo)]</t>
  </si>
  <si>
    <t>Facoltà (facoltativo)</t>
  </si>
  <si>
    <t>[Sempre da riportare + se applicabile]</t>
  </si>
  <si>
    <t>[Se applicabile collegato a B2]</t>
  </si>
  <si>
    <t>importo in</t>
  </si>
  <si>
    <t>Informazioni sulla relazione necessarie per XBRL</t>
  </si>
  <si>
    <t>Nome dell'impresa che redige la relazione</t>
  </si>
  <si>
    <t>Identificatore dell'impresa che redige la relazione (selezionare e specificare a destra)</t>
  </si>
  <si>
    <t>Valuta dei valori monetari nella relazione</t>
  </si>
  <si>
    <t>Anno di inizio</t>
  </si>
  <si>
    <t>Mese di inizio</t>
  </si>
  <si>
    <t>Giorno di inizio</t>
  </si>
  <si>
    <t>Data di inizio del periodo di riferimento (gg-mm-aaaa)</t>
  </si>
  <si>
    <t>Anno di chiusura</t>
  </si>
  <si>
    <t>Mese di chiusura</t>
  </si>
  <si>
    <t>Giorno di chiusura</t>
  </si>
  <si>
    <t>Data di chiusura del periodo di riferimento (gg-mm-aaaa)</t>
  </si>
  <si>
    <t>Informazioni sul periodo di riferimento precedente</t>
  </si>
  <si>
    <t>Questa relazione contiene informative del periodo di riferimento precedente che rimangono invariate.</t>
  </si>
  <si>
    <t>Elenco delle informative per le quali non sono riportate variazioni rispetto al periodo di riferimento precedente</t>
  </si>
  <si>
    <t>Collegamento alla relazione precedente contenente le informative che rimangono invariate</t>
  </si>
  <si>
    <t>B1 - Criteri per la redazione e informazioni generali dell'impresa</t>
  </si>
  <si>
    <t>Criteri per la redazione (Solo Modulo Base o Modulo Base &amp; Modulo Onnicomprensivo)</t>
  </si>
  <si>
    <t>Elenco delle informative omesse considerate come informazioni classificate o sensibili</t>
  </si>
  <si>
    <t>Base per la rendicontazione (su base consolidata o individuale)</t>
  </si>
  <si>
    <t>Forma giuridica dell'impresa</t>
  </si>
  <si>
    <t>Dettagli sulla forma giuridica dell'impresa "altro"</t>
  </si>
  <si>
    <t>Codice(i) di classificazione settoriale NACE</t>
  </si>
  <si>
    <t>Entità dello stato patrimoniale (totale degli attivi)</t>
  </si>
  <si>
    <t>Ricavi delle vendite e delle prestazioni</t>
  </si>
  <si>
    <t>Numero di dipendenti</t>
  </si>
  <si>
    <t>Metodologia di conteggio dei dipendenti (Alla fine del periodo di riferimento o come media durante il periodo di riferimento)</t>
  </si>
  <si>
    <t>Metodologia di conteggio dei dipendenti (Effettivi o equivalenti a tempo pieno)</t>
  </si>
  <si>
    <t>Paese delle operazioni primarie e ubicazione degli attivi significativi</t>
  </si>
  <si>
    <t>B1 - Elenco delle imprese figlie</t>
  </si>
  <si>
    <t>Sede legale</t>
  </si>
  <si>
    <t>B1 - Informativa delle certificazioni o marchi di sostenibilità</t>
  </si>
  <si>
    <t>L'impresa ha ottenuto una o più certificazioni o marchi di sostenibilità?</t>
  </si>
  <si>
    <t>Descrizione della/e certificazione/i o marchio/i di sostenibilità, includendo, se del caso, i soggetti che hanno rilasciato la certificazione o il marchio, la datadi rilascio e il punteggio di valutazione</t>
  </si>
  <si>
    <t>Elenco del/i sito(i) B1</t>
  </si>
  <si>
    <t>Indirizzo</t>
  </si>
  <si>
    <t>Codice postale</t>
  </si>
  <si>
    <t>Città</t>
  </si>
  <si>
    <t>Paese</t>
  </si>
  <si>
    <t>Coordinate GPS (geolocalizzazione)</t>
  </si>
  <si>
    <t xml:space="preserve">Geolocalizzazione automatica: abilitando la geolocalizzazione automatica di OpenStreetMaps con la casella di controllo sottostante, l'impresa dichiara di essere pienamente consapevole e di accettare la Politica d'Uso di Nominatim e la Politica sulla Privacy. OpenStreetMap® è un dato a scelta con licenza Open Data Commons Open Database (ODbL) dalla OpenStreetMap Foundation (OSMF). Tutti i dati appartengono e sono di proprietà di OpenStreetMap®.
</t>
  </si>
  <si>
    <t>B2 –   Pratiche, politiche e iniziative future per la transizione verso un'economia più sostenibile</t>
  </si>
  <si>
    <t>L'impresa ha predisposto pratiche, politiche e/o iniziative future specifiche per la transizione verso un'economia più sostenibile?</t>
  </si>
  <si>
    <t xml:space="preserve">Questioni attinenti alla sostenibilità affrontate da una pratica, politica e/o iniziative future che l'impresa ha predisposto
</t>
  </si>
  <si>
    <t xml:space="preserve">L'impresa ha una pratica, politica e/o un'iniziativa futura che è disponibile al pubblico
</t>
  </si>
  <si>
    <t>L'impresa ha stabilito un obiettivo che è collegato a una politica</t>
  </si>
  <si>
    <t>Cambiamenti climatici</t>
  </si>
  <si>
    <t>Inquinamento</t>
  </si>
  <si>
    <t>Acque e risorse marine</t>
  </si>
  <si>
    <t>Biodiversità ed ecosistemi</t>
  </si>
  <si>
    <t>Economia circolare</t>
  </si>
  <si>
    <t>Forza lavoro propria</t>
  </si>
  <si>
    <t xml:space="preserve">Lavoratori nella catena del valore
</t>
  </si>
  <si>
    <t xml:space="preserve">Comunità interessate
</t>
  </si>
  <si>
    <t>Consumatori e utilizzatori finali</t>
  </si>
  <si>
    <t>Condotta delle imprese</t>
  </si>
  <si>
    <t>B2 - Informative specifiche per cooperative</t>
  </si>
  <si>
    <t>Se l'impresa è una cooperativa, può comunicare: la partecipazione effettiva alla governance dei lavoratori, utilizzatori e altre parti o comunità interessate.</t>
  </si>
  <si>
    <t>L'investimento finanziario nel capitale o negli attivi dei soggetti dell'economia sociale di cui alla Raccomandazione del Consiglio del 29 settembre 2023 (escluse le donazioni e i contributi)</t>
  </si>
  <si>
    <t>Eventuali limiti alla distribuzione degli utili connessi alla natura mutualistica o alla natura delle attività che consistono in servizi di interesse economico generale (SIEG)</t>
  </si>
  <si>
    <t>C2 – Descrizione delle pratiche, delle politiche e delle iniziative future per la transizione verso un'economia più sostenibile</t>
  </si>
  <si>
    <t>Descrizione di una pratica, politica e/o iniziativa futura verso un futuro più sostenibile (nel caso in cui la pratica, politica o iniziativa futura riguardi fornitori o clienti, l'impresa dovrà menzionarlo)</t>
  </si>
  <si>
    <t>Descrizione dell'obiettivo relativo a una politica</t>
  </si>
  <si>
    <t>Il livello gerarchico più elevato tra i suoi dipendenticui spetta la responsabilità dell'attuazione delle politiche, laddove l'impresa lo abbia stabilito</t>
  </si>
  <si>
    <t>C1 – Strategia: modello aziendale e iniziative connesse alla sostenibilità</t>
  </si>
  <si>
    <t>Descrizione dei gruppi significativi di prodotti e/o servizi offerti</t>
  </si>
  <si>
    <t>Descrizione del/i mercato/i significativo/i in cui opera l'impresa (ad esempio da impresa a impresa (B2B), all'ingrosso, al dettaglio, paesi)</t>
  </si>
  <si>
    <t>Descrizione dei principali rapporti commerciali (ad esempio fornitori, clienti, canali di distribuzione chiave)</t>
  </si>
  <si>
    <t>La strategia presenta elementi chiave che riguardano o hanno ripercussioni su questioni attinenti alla sostenibilità?</t>
  </si>
  <si>
    <t>Se la strategia presenta elementi chiave che riguardano o hanno ripercussioni su questioni attinenti alla sostenibilità, una breve descrizione di tali elementi chiave.</t>
  </si>
  <si>
    <t>Comunicazione di qualsiasi altra informazione generale e/o specifica per soggetto riguardante il periodo di riferimento</t>
  </si>
  <si>
    <t>B3 - Consumo totale di energia (in MWh)</t>
  </si>
  <si>
    <t>Consumo totale di energia</t>
  </si>
  <si>
    <t>B3 - Ripartizione del consumo di energia (in MWh)</t>
  </si>
  <si>
    <t>L'impresa ha ottenuto le informazioni necessarie per fornire una ripartizione del consumo di energia?</t>
  </si>
  <si>
    <t>Rinnovabile</t>
  </si>
  <si>
    <t>Non rinnovabile</t>
  </si>
  <si>
    <t>Totale rinnovabile e non rinnovabile</t>
  </si>
  <si>
    <t>Energia elettrica (secondo quanto risulta dalle bollette)</t>
  </si>
  <si>
    <t>Energia elettrica autoprodotta</t>
  </si>
  <si>
    <t>Combustibili (vedere Convertitore di carburante nel foglio Combustibili)</t>
  </si>
  <si>
    <t>B3 - Emissioni stimate di gas a effetto serra considerando il Greenhouse Gas Protocol versione 2004 (in tCO2e)</t>
  </si>
  <si>
    <t>C3 - Obiettivi di riduzione delle emissioni di gas a effetto serra (in tCO2e)</t>
  </si>
  <si>
    <t>L'impresa ha stabilito obiettivi di riduzione delle emissioni di gas a effetto serra?</t>
  </si>
  <si>
    <t>Periodo di riferimento corrente</t>
  </si>
  <si>
    <t>Anno base</t>
  </si>
  <si>
    <t>Anno-obiettivo</t>
  </si>
  <si>
    <t>Percentuale di riduzione rispetto all'anno base</t>
  </si>
  <si>
    <t>Anno (data)</t>
  </si>
  <si>
    <t>Emissioni lorde di gas a effetto serra di ambito 1</t>
  </si>
  <si>
    <t>Emissioni lorde di gas a effetto serra di ambito 2 basate sulla posizione</t>
  </si>
  <si>
    <t>Emissioni lorde di gas a effetto serra di ambito 2 basate sul mercato</t>
  </si>
  <si>
    <t>Emissioni totali di gas a effetto serra di ambito 1 e ambito 2 (basate sulla posizione)</t>
  </si>
  <si>
    <t>Emissioni totali di gas a effetto serra di ambito 1 e ambito 2 (basate sul mercato)</t>
  </si>
  <si>
    <t>L'impresa comunica informazioni specifiche per soggetto sulle emissioni di ambito 3 (in tCO2e)?</t>
  </si>
  <si>
    <t>1. Beni e servizi acquistati</t>
  </si>
  <si>
    <t>2. Beni strumentali</t>
  </si>
  <si>
    <t>3. Attività legate ai combustibili e all'energia (non incluse nell'ambito 1 o ambito 2)</t>
  </si>
  <si>
    <t>4. Trasporto e distribuzione a monte</t>
  </si>
  <si>
    <t>5. Rifiuti generati nel corso delle operazioni</t>
  </si>
  <si>
    <t>6. Viaggi d'affari</t>
  </si>
  <si>
    <t>7. Pendolarismo dei dipendenti</t>
  </si>
  <si>
    <t>8. Attivi in leasing a monte</t>
  </si>
  <si>
    <t>9. Trasporto a valle</t>
  </si>
  <si>
    <t>10. Trasformazione dei prodotti venduti</t>
  </si>
  <si>
    <t>11. Uso dei prodotti venduti</t>
  </si>
  <si>
    <t>12. Trattamento di fine vita dei prodotti venduti</t>
  </si>
  <si>
    <t>13. Attivi in leasing a valle</t>
  </si>
  <si>
    <t>14. Franchising</t>
  </si>
  <si>
    <t>15. Investimenti</t>
  </si>
  <si>
    <t>Emissioni totali di gas a effetto serra di ambito 3</t>
  </si>
  <si>
    <t>Emissioni totali di gas a effetto serra di ambito 1, ambito 2 e ambito 3 (basate sulla posizione)</t>
  </si>
  <si>
    <t>Emissioni totali di gas a effetto serra di ambito 1, ambito 2 e ambito 3 (basate sul mercato)</t>
  </si>
  <si>
    <t>C3 - Comunicazione dell'elenco delle principali azioni che l'impresa intende attuare per raggiungere i propri obiettivi</t>
  </si>
  <si>
    <t>C3 - Piano di transizione per le imprese che operano in settori ad alto impatto climatico</t>
  </si>
  <si>
    <t>L'impresa opera in settori ad alto impatto?</t>
  </si>
  <si>
    <t>Stato di attuazione di un piano di transizione per la mitigazione dei cambiamenti climatici</t>
  </si>
  <si>
    <t>Descrizione di un piano di transizione per la mitigazione dei cambiamenti climatici, comprensa una spiegazione del modo in cui il piano sta contribuendo a ridurre le emissioni di gas a effetto serra.</t>
  </si>
  <si>
    <t>Data prevista per l'adozione del piano di transizione per l'impresa che non ha ancora adottato un piano di transizione</t>
  </si>
  <si>
    <t>Anno</t>
  </si>
  <si>
    <t>Mese</t>
  </si>
  <si>
    <t>Giorno</t>
  </si>
  <si>
    <t>B3 - Intensità delle emissioni di gas a effetto serra per ricavi delle vendite e delle prestazioni (in tCO2e)</t>
  </si>
  <si>
    <t>Intensità delle emissioni di gas a effetto serra di ambito 1 e ambito 2 (basate sulla posizione)</t>
  </si>
  <si>
    <t>Intensità delle emissioni di gas a effetto serra di ambito 1 e ambito 2 (basate sul mercato)</t>
  </si>
  <si>
    <t>Intensità totale delle emissioni di gas a effetto serra di ambito 1, ambito 2 e ambito 3 (basate sulla posizione)</t>
  </si>
  <si>
    <t>Intensità totale delle emissioni di gas a effetto serra di ambito 1, ambito 2 e ambito 3 (basate sul mercato)</t>
  </si>
  <si>
    <t>B4 – Inquinamento di aria, acqua e suolo</t>
  </si>
  <si>
    <t>L'impresa è già tenuta, in forza di leggi o altre normative nazionali, a comunicare alle autorità competenti le proprie emissioni di inquinanti o riferisce volontariamente al riguardo nel quadro di un sistema di gestione ambientale?</t>
  </si>
  <si>
    <t>Questa informativa è già disponibile al pubblico?</t>
  </si>
  <si>
    <t>Si prega di fornire l'URL pertinente o inserire il collegamento ipertestuale dove queste informazioni figurano.</t>
  </si>
  <si>
    <t>Selezionare l'unità utilizzata per la comunicazione della quantità (ad esempio kg o tonnellata)</t>
  </si>
  <si>
    <t>ID Riga</t>
  </si>
  <si>
    <t xml:space="preserve">Inquinante
</t>
  </si>
  <si>
    <t>Emissione nell'aria</t>
  </si>
  <si>
    <t>Emissione nell'acqua</t>
  </si>
  <si>
    <t>Emissione nel suolo</t>
  </si>
  <si>
    <t>B5 – Siti all'interno di aree sensibili sotto il profilo della biodiversità</t>
  </si>
  <si>
    <t>L'impresa ha siti ubicati all'interno o in prossimità di un'area sensibile sotto il profilo della biodiversità?</t>
  </si>
  <si>
    <t>Si prega di selezionare l'unità di misura utilizzata per la superficie (ossia, ettari o m²):</t>
  </si>
  <si>
    <t>ID del sito correlato (selezionare un ID da un'ubicazione del sito riportata in B1)</t>
  </si>
  <si>
    <t>Ubicazione del sito all'interno o in prossimità di un'area sensibile sotto il profilo della biodiversità - compilato automaticamente da B1</t>
  </si>
  <si>
    <t>Superficie (ettari o m² in base alla selezione sopra)</t>
  </si>
  <si>
    <t>Sito ubicato all'interno di un'area sensibile sotto il profilo della biodiversità</t>
  </si>
  <si>
    <t>Sito ubicato in prossimità di un'area sensibile sotto il profilo della biodiversità</t>
  </si>
  <si>
    <t>B5 – Biodiversità – Uso del suolo</t>
  </si>
  <si>
    <t>Tipo di uso del suolo</t>
  </si>
  <si>
    <t>Superficie</t>
  </si>
  <si>
    <t>Superficie totale impermeabilizzata</t>
  </si>
  <si>
    <t>Superficie totale orientata alla natura nel sito</t>
  </si>
  <si>
    <t>Superficie totale orientata alla natura fuori dal sito</t>
  </si>
  <si>
    <t>Uso totale del suolo</t>
  </si>
  <si>
    <t>B6 - Prelievo Idrico</t>
  </si>
  <si>
    <t>Quantità totale di acqua prelevata da tutti i siti (metri cubi m³)</t>
  </si>
  <si>
    <t>Quantità di acqua prelevata presso siti ubicati in aree ad elevato stress idrico (metri cubi m³)</t>
  </si>
  <si>
    <t>B6 – Acque</t>
  </si>
  <si>
    <t>L'impresa svolge processi di produzione che consumano quantità significative di acqua (ad esempio processi che richiedono energia termica quali l'essiccazione o la produzione di energia elettrica, produzione di merci, irrigazione agricola, ecc.)?</t>
  </si>
  <si>
    <t>Scarico di acque risultante dai processi di produzione dell'impresa (m³)</t>
  </si>
  <si>
    <t>Consumo idrico totale (m³)</t>
  </si>
  <si>
    <t>B7 – Descrizione dei principi dell'economia circolare</t>
  </si>
  <si>
    <t>L'impresa applica i principi dell'economia circolare</t>
  </si>
  <si>
    <t>Descrizione delle modalità con cui applica questi principi</t>
  </si>
  <si>
    <t>B7 – Uso delle risorse, economia circolare e gestione dei rifiuti</t>
  </si>
  <si>
    <t>Tipo di rifiuto</t>
  </si>
  <si>
    <t>Unità di misura</t>
  </si>
  <si>
    <t>Rifiuti reindirizzati al riciclaggio o al riutilizzo</t>
  </si>
  <si>
    <t>Rifiuti destinati allo smaltimento</t>
  </si>
  <si>
    <t>Quantità di rifiuti riciclati, riutilizzati e destinati allo smaltimento</t>
  </si>
  <si>
    <t>Totale rifiuti pericolosi generati (massa)</t>
  </si>
  <si>
    <t>Importo totale di rifiuti generati</t>
  </si>
  <si>
    <t>Totale rifiuti non pericolosi generati (massa)</t>
  </si>
  <si>
    <t>Totale rifiuti generati (massa)</t>
  </si>
  <si>
    <t>Totale rifiuti pericolosi generati (volume)</t>
  </si>
  <si>
    <t>metri cubi (m³)</t>
  </si>
  <si>
    <t>Totale rifiuti non pericolosi generati (volume)</t>
  </si>
  <si>
    <t>Totale rifiuti generati (volume)</t>
  </si>
  <si>
    <t>B7 – Flusso di massa annuo dei materiali pertinenti utilizzati</t>
  </si>
  <si>
    <t>L'impresa opera in un settore che utilizza flussi significativi di materiali (ad esempio industria manifatturiera, costruzione, imballaggio o altro)?</t>
  </si>
  <si>
    <t>Nome del materiale chiave</t>
  </si>
  <si>
    <t>Flusso di massa annuo totale dei materiali pertinenti utilizzati (massa in kg)</t>
  </si>
  <si>
    <t>chilogrammi (kg)</t>
  </si>
  <si>
    <t>Flusso di massa annuo totale dei materiali pertinenti utilizzati (volume in m³)</t>
  </si>
  <si>
    <t>C4 – Rischi climatici</t>
  </si>
  <si>
    <t xml:space="preserve">L'impresa ha individuato pericoli legati al clima ed eventi di transizione legati al clima che creano nei confronti dell'impresa rischi lordi legati al clima?
</t>
  </si>
  <si>
    <t>Descrizione dei pericoli ed eventi di transizione legati al clima</t>
  </si>
  <si>
    <t>Comunicazione del modo in cui ha valutato l'esposizione e la sensibilità dei suoi attivi, delle sue attività e della sua catena del valore a tali pericoli ed eventi di transizione</t>
  </si>
  <si>
    <t>Orizzonti temporali di eventuali pericoli ed eventi di transizione legati al clima individuati</t>
  </si>
  <si>
    <t>Comunicazione se ha intrapreso azioni di adattamento ai cambiamenti climatici per eventuali pericoli ed eventi di transizione legati al clima</t>
  </si>
  <si>
    <t>L'impresa può segnalare i potenziali effetti negativi dei rischi climatici che potrebbero incidere sui suoi risultati finanziari o sulle sue operazioni aziendali a breve, medio o lungo termine, precisando se reputa che i rischi siano elevati, medi o bassi.</t>
  </si>
  <si>
    <t>Comunicazione di qualsiasi altra informativa ambientale e/o specifica per soggetto</t>
  </si>
  <si>
    <t>Metodologia di conteggio dei dipendenti per le informative seguenti (effettivi o equivalenti a tempo pieno collegati da B1)</t>
  </si>
  <si>
    <t>Metodologia di conteggio dei dipendenti per le informative seguenti (Alla fine del periodo di riferimento o come media nel periodo di riferimento collegata da B1)</t>
  </si>
  <si>
    <t>B8 – Forza lavoro – Caratteristiche generali - Tipo di contratto</t>
  </si>
  <si>
    <t xml:space="preserve">Contratto permanente
</t>
  </si>
  <si>
    <t>Contratto temporaneo</t>
  </si>
  <si>
    <t>Totale dipendenti (collegato a B1)</t>
  </si>
  <si>
    <t xml:space="preserve">B8 – Forza lavoro – Caratteristiche generali - Genere
</t>
  </si>
  <si>
    <t>Uomini</t>
  </si>
  <si>
    <t>Donne</t>
  </si>
  <si>
    <t>Altro</t>
  </si>
  <si>
    <t>Non comunicato</t>
  </si>
  <si>
    <t>B8 – Forza lavoro – Caratteristiche generali - Paese del contratto di lavoro</t>
  </si>
  <si>
    <t>La società opera in più di un paese?</t>
  </si>
  <si>
    <t>B8 – Forza lavoro – Caratteristiche generali - Tasso di avvicendamento</t>
  </si>
  <si>
    <t xml:space="preserve">Numero di dipendenti che hanno lasciato l'impresa durante l'anno di riferimento
</t>
  </si>
  <si>
    <t>Numero di dipendenti all'inizio dell'anno di riferimento</t>
  </si>
  <si>
    <t>Numero di dipendenti alla fine dell'anno di riferimento</t>
  </si>
  <si>
    <t xml:space="preserve">Tasso di avvicendamento dei dipendenti [%] nell'anno di riferimento
</t>
  </si>
  <si>
    <t>B9 – Forza lavoro – Salute e sicurezza</t>
  </si>
  <si>
    <t>Numero di infortuni registrabili connessi al lavoro nel periodo di riferimento</t>
  </si>
  <si>
    <t>Ore lavorate da un dipendente a tempo pieno nel periodo di riferimento</t>
  </si>
  <si>
    <t>Numero totale di ore lavorate in un anno da tutti i dipendenti nel periodo di riferimento</t>
  </si>
  <si>
    <t>Tasso di infortuni registrabili connessi al lavoro nel periodo di riferimento</t>
  </si>
  <si>
    <t>Numero di decessi dovuti a lesioni e malattie connesse al lavoro</t>
  </si>
  <si>
    <t>B10 – Forza lavoro – Retribuzione, contrattazione collettiva e formazione</t>
  </si>
  <si>
    <t>I dipendenti percepiscono una retribuzione pari o superiore al salario minimo applicabile, determinato direttamente dal diritto nazionale in matria di salario minimo o mediante contrattazione collettiva.</t>
  </si>
  <si>
    <t>Livello di retribuzione oraria lorda media dei dipendenti di sesso maschile</t>
  </si>
  <si>
    <t>Livello di retribuzione oraria lorda media dei dipendenti di sesso femminile</t>
  </si>
  <si>
    <t>Percentuale del divario retributivo tra dipendenti di sesso femminile e dipendenti di sesso maschile [%]</t>
  </si>
  <si>
    <t>Numero di dipendenti coperti da contratti collettivi</t>
  </si>
  <si>
    <t>Percentuale di dipendenti coperti da contratti collettivi [%]</t>
  </si>
  <si>
    <t>Numero medio annuo di ore di formazione per dipendente</t>
  </si>
  <si>
    <t>C5 – Altre caratteristiche (generali) della forza lavoro</t>
  </si>
  <si>
    <t>Numero di dipendenti di sesso maschile a livello dirigenziale</t>
  </si>
  <si>
    <t>Numero di dipendenti di sesso femminile a livello dirigenziale</t>
  </si>
  <si>
    <t>Rapporto tra donne e uomini a livello dirigenziale per il periodo di riferimento</t>
  </si>
  <si>
    <t>Numero totale di lavoratori autonomi senza personale che lavorano esclusivamente per l'impresa</t>
  </si>
  <si>
    <t>Numero totale di lavoratori temporanei messi a disposizione da imprese che esercitano principalmente attività di ricerca, selezione e fornitura di personale</t>
  </si>
  <si>
    <t>C6 – Altre informazioni sulla forza lavoro propria – Politiche e procedure in materia di diritti umani</t>
  </si>
  <si>
    <t>L'impresa dispone di un codice di condotta o di una politica in materia di diritti umani per la forza lavoro propria?</t>
  </si>
  <si>
    <t>In caso affermativo, questo riguarda:</t>
  </si>
  <si>
    <t>Lavoro minorile</t>
  </si>
  <si>
    <t>Lavoro forzato</t>
  </si>
  <si>
    <t>· tratta di esseri umani</t>
  </si>
  <si>
    <t>· discriminazione</t>
  </si>
  <si>
    <t>· Prevenzione degli infortuni</t>
  </si>
  <si>
    <t>· altro? (se sì, precisare)</t>
  </si>
  <si>
    <t>Specifica altri tipi di contenuti coperti dal codice di condotta o dalla politica in materia di diritti umani</t>
  </si>
  <si>
    <t>L'impresa dispone di un meccanismo di trattamento delle denunce per la forza lavoro propria?</t>
  </si>
  <si>
    <t>C7 – Incidenti gravi in materia di diritti umani</t>
  </si>
  <si>
    <t>L'impresa ha confermato incidenti in seno alla forza lavoro propria?</t>
  </si>
  <si>
    <t>In caso affermativo, gli incidenti sono correlati a:</t>
  </si>
  <si>
    <t>Specifica altri diritti umani relativi agli incidenti confermati</t>
  </si>
  <si>
    <t>Descrizione delle azioni intraprese in risposta agli incidenti confermati</t>
  </si>
  <si>
    <t>L'impresa è a conoscenza di incidenti confermati che coinvolgono lavoratori nella catena del valore, comunità interessate, consumatori e utilizzatori finali?</t>
  </si>
  <si>
    <t>Specificazione di eventuali incidenti confermati che coinvolgono lavoratori nella catena del valore, comunità interessate, consumatori e utilizzatori finali</t>
  </si>
  <si>
    <t>Comunicazione di qualsiasi altra informativa sociale e/o specifica per soggetto</t>
  </si>
  <si>
    <t>B11 – Condanne e ammende per corruzione attiva e passiva</t>
  </si>
  <si>
    <t>L'impresa ha subito condanne e ammende nel periodo di riferimento?</t>
  </si>
  <si>
    <t>Numero totale delle condanne per violazione delle leggi in materia di lotta alla corruzione passiva e attiva</t>
  </si>
  <si>
    <t>Importo complessivo delle ammende in cui è incorsa per violazione delle leggi in materia di lotta alla corruzione passiva e attiva</t>
  </si>
  <si>
    <t>C8 – Ricavi da determinate attività</t>
  </si>
  <si>
    <t>L'impresa genera ricavi da una delle attività elencate di seguito?</t>
  </si>
  <si>
    <t>Importo monetario in</t>
  </si>
  <si>
    <t>Ricavi derivanti da armi controverse (mine antiuomo, munizioni a grappolo, armi chimiche e armi biologiche)</t>
  </si>
  <si>
    <t>Ricavi derivanti dalla coltivazione e produzione di tabacco</t>
  </si>
  <si>
    <t>Ricavi derivanti dal carbone</t>
  </si>
  <si>
    <t>Ricavi derivanti dal petrolio</t>
  </si>
  <si>
    <t>Ricavi derivanti dal gas</t>
  </si>
  <si>
    <t>Ricavi totali derivanti dal settore dei combustibili fossili (carbone, petrolio e gas) (vale a dire che l'impresa genera proventi dalla prospezione, dall'estrazione, dalla produzione, dalla trasformazione, dallo stoccaggio, dalla raffinazione o dalla distribuzione, compresi il trasporto, lo stoccaggio e il commercio di combustibili fossili quali definiti all'articolo 2, punto 62, del regolamento (UE) 2018/1999 del Parlamento europeo e del Consiglio)</t>
  </si>
  <si>
    <t>Ricavi derivanti dalla produzione di sostanze chimiche</t>
  </si>
  <si>
    <t>C8 – Esclusione dagli indici di riferimento dell'UE</t>
  </si>
  <si>
    <t>Le imprese escluse dagli indici di riferimento UE allineati con l'accordo di Parigi sono le seguenti:</t>
  </si>
  <si>
    <t>società che ottengono l'1 % o più dei ricavi dalla prospezione, estrazione, distribuzione o raffinazione di carbon fossile e lignite;</t>
  </si>
  <si>
    <t>società che ottengono il 10% o più dei ricavi dalla prospezione, estrazione, distribuzione o raffinazione di oli combustibili</t>
  </si>
  <si>
    <t>società che ottengono il 50 % o più dei ricavi dalla prospezione, estrazione, produzione o distribuzione di gas combustibili</t>
  </si>
  <si>
    <t>società che ottengono il 50 % o più dei ricavi dalla produzione di energia elettrica con un'intensità dei gas a effetto serra superiore a 100 g CO2 eq/kWh</t>
  </si>
  <si>
    <t xml:space="preserve">Nessuno dei precedenti 
</t>
  </si>
  <si>
    <t xml:space="preserve">Le imprese sono escluse da qualsiasi indice di riferimento UE allineato con l'accordo di Parigi. 
</t>
  </si>
  <si>
    <t>Diversità di genere nell'organo di governance</t>
  </si>
  <si>
    <t>L'impresa dispone di un organo di governance?</t>
  </si>
  <si>
    <t xml:space="preserve">Numero di membri femminili nel consiglio alla fine del periodo di riferimento
</t>
  </si>
  <si>
    <t>Numero di membri maschili nel consiglio alla fine del periodo di riferimento</t>
  </si>
  <si>
    <t>Comunicazione di qualsiasi altra informativa sulla governance e/o informativa specifica per soggetto</t>
  </si>
  <si>
    <t>CONVERTITORE DI COMBUSTIBILE</t>
  </si>
  <si>
    <t>AVVERTENZA:</t>
  </si>
  <si>
    <t xml:space="preserve">Questo convertitore è destinato esclusivamente a illustrare come il consumo di energia (in MWh) possa essere calcolato a partire da vari tipi di combustibile. EFRAG non assume alcuna responsabilità per il contenuto né per eventuali conseguenze o danni diretti, indiretti o incidentali derivanti dall'uso di questo convertitore di combustibili. 
</t>
  </si>
  <si>
    <t xml:space="preserve">Si prega di notare che i valori tipici per il Potere Calorifico Netto (PCN) e la Densità sono forniti per ogni tipo di combustibile. Tuttavia, tali parametri possono variare in base a fattori quali le normative nazionali, le caratteristiche specifiche dei fornitori di combustibile o altre circostanze. Pertanto, si prevede che gli utilizzatori inseriscano manualmente o modifichino i valori di PCN e Densità per riflettere la loro situazione specifica. 
</t>
  </si>
  <si>
    <t>Inoltre, si incoraggia gli utilizzatori a determinare lo stato di rinnovabilità di ciascun combustibile sulla base delle Garanzie di Origine, come previsto dall'Articolo 19 della Direttiva Europea 2018/2001/CE sulla promozione dell'uso di energia da fonti rinnovabili. Lo stato di rinnovabilità predefinito fornito per ciascun combustibile è un'assunzione tipica e dovrebbe essere modificato, se necessario, in base a circostanze geografiche o individuali.</t>
  </si>
  <si>
    <t>Indica che la cella deve essere compilata selezionando un valore dal menu a tendina (ad esempio Tipo di carburante o Unità di misura) oppure inserendo un importo.</t>
  </si>
  <si>
    <t>Tipo di combustibile</t>
  </si>
  <si>
    <t>Importo</t>
  </si>
  <si>
    <t>Stato della materia</t>
  </si>
  <si>
    <t>Stato tipico delle energie rinnovabili</t>
  </si>
  <si>
    <t>Energia calcolata in MWh</t>
  </si>
  <si>
    <t>Utilizzo del convertitore di combustibile:</t>
  </si>
  <si>
    <t xml:space="preserve">1. Nella cella A9 selezionare il Combustibile utilizzato, cercandolo o scorrendo l'elenco visualizzato e cliccando sulla cella
</t>
  </si>
  <si>
    <t>2. Nella cella B9 selezionare l'unità di misura utilizzata</t>
  </si>
  <si>
    <t>3. Nella cella C9 selezionare la Quantità di combustibile utilizzata</t>
  </si>
  <si>
    <t xml:space="preserve">4. Nella cella D9 è visualizzato lo Stato della materia per il Combustibile selezionato
</t>
  </si>
  <si>
    <t xml:space="preserve">5. Nella cella E9 è indicato lo stato tipico di rinnovabilità per il Combustibile selezionato
</t>
  </si>
  <si>
    <t xml:space="preserve">6. Nella cella F9 è visualizzata l'energia prodotta in Megawatt-ora per la quantità di combustibile specificata
</t>
  </si>
  <si>
    <t>7. Nella cella A28 è visualizzato il Consumo totale di energia in Megawatt-ora</t>
  </si>
  <si>
    <t>8. Nella cella A31 è visualizzato il Totale Energia Rinnovabile in Megawatt-ora</t>
  </si>
  <si>
    <t>9. Nella cella B31 è visualizzato il Totale Energia Non Rinnovabile in Megawatt-ora</t>
  </si>
  <si>
    <t>10. Ulteriori note sono riportate di seguito</t>
  </si>
  <si>
    <t>Trasferire i risultati totali calcolati alla cella di B3 "Consumo di energia da combustibili"</t>
  </si>
  <si>
    <t>Totale consumo di energia [MWh]</t>
  </si>
  <si>
    <t>Totale consumo di energia rinnovabile [MWh]</t>
  </si>
  <si>
    <t>Totale consumo di energia non rinnovabile [MWh]</t>
  </si>
  <si>
    <t>Ulteriori note:</t>
  </si>
  <si>
    <t xml:space="preserve">Il convertitore offre la possibilità di calcolare simultaneamente fino a 10 diversi tipi di combustibile. Per fare ciò, si prega di espandere le colonne nascoste utilizzando l'icona più in cima al documento.
Ogni convertitore di combustibile espanso funziona esattamente come spiegato sopra.
È importante notare che il calcolo automatico effettuato dal Convertitore di Combustibile utilizza i PCN (Poteri Calorifici Netti) e le Densità tipiche per quel particolare tipo di combustibile. Se l'impresa è in grado di fornire i PCN e le Densità specifiche dei combustibili utilizzati, è possibile calcolare il Consumo di energia orario in MWh incorporando i valori specifici nelle formule automatizzate nel foglio del Convertitore di Combustibile.
Di seguito sono riportate le formule, nel caso in cui si preferisca una soluzione di calcolo non automatizzata utilizzando valori specifici rispetto a quella del Convertitore. Se è necessario convertire l'Unità di Misura delle vostre misure specifiche, si prega di utilizzare il Convertitore di Unità di Misura. 
</t>
  </si>
  <si>
    <t>Consumo di energia orario in MWh per combustibili solidi:</t>
  </si>
  <si>
    <t>Energia [MWh] = Massa [t] * PCN [MWh/t]</t>
  </si>
  <si>
    <t>Consumo di energia orario in MWh per combustibili liquidi:</t>
  </si>
  <si>
    <t>Massa [t] = Volume [L] * Densità [t/L]</t>
  </si>
  <si>
    <t>Consumo di energia orario in MWh per gas combustibili:</t>
  </si>
  <si>
    <t>Massa [t] = Volume [m³] * Densità [t/m³]</t>
  </si>
  <si>
    <t>CONVERTITORE DI UNITÀ DI MISURA</t>
  </si>
  <si>
    <t>Da</t>
  </si>
  <si>
    <t>Unità di misura del convertitore di massa</t>
  </si>
  <si>
    <t>Unità di misura del convertitore di volume</t>
  </si>
  <si>
    <t>Unità di misura del consumo di energia orario</t>
  </si>
  <si>
    <t>Unità di misura del convertitore PCN</t>
  </si>
  <si>
    <t>Unità di misura del convertitore di densità</t>
  </si>
  <si>
    <t>Uso del convertitore di unità di misura</t>
  </si>
  <si>
    <t>Passi da seguire per la tabella della massa:</t>
  </si>
  <si>
    <t>1. Nella cella B5 della tabella relativa all'Unità di misura del Convertitore di Massa deve essere inserita l'Unità di misura da convertire.</t>
  </si>
  <si>
    <t>2. Poi nella cella B6 può essere inserita la quantità di massa.</t>
  </si>
  <si>
    <t>Infine, nella cella D5 dovrebbe esserci l'unità di misura di interesse.</t>
  </si>
  <si>
    <t>L’esito della conversione sarà visualizzato nella cella D6.</t>
  </si>
  <si>
    <t>I passaggi da seguire per le altre tabelle (Volume, Consumo di energia, Densità e PCN) sono gli stessi della tabella della Massa.</t>
  </si>
  <si>
    <t>Di seguito sono specificate tutte le conversioni delle unità di misura di ciascuna tabella.</t>
  </si>
  <si>
    <t>▪ Unità di misura del convertitore di massa:</t>
  </si>
  <si>
    <t>▪ Unità di misura del convertitore di volume:</t>
  </si>
  <si>
    <t>▪ Unità di misura del Convertitore di Energia:</t>
  </si>
  <si>
    <t>▪ Unità di misura del convertitore di densità:</t>
  </si>
  <si>
    <t>▪ Unità di misura del convertitore PCN:</t>
  </si>
  <si>
    <t xml:space="preserve">VALORE MANCANTE
</t>
  </si>
  <si>
    <t>ERRORE</t>
  </si>
  <si>
    <t xml:space="preserve">INCOERENZA DI VALORE 
</t>
  </si>
  <si>
    <t>ERRORE + INCOERENZA DI VALORE</t>
  </si>
  <si>
    <t>ERRORE + VALORE MANCANTE + INCOERENZA DI VALORE</t>
  </si>
  <si>
    <t>ERRORE + VALORE MANCANTE</t>
  </si>
  <si>
    <t>VALORE MANCANTE + INCOERENZA DI VALORE</t>
  </si>
  <si>
    <t>URL NON VALIDO</t>
  </si>
  <si>
    <t>ℹ️ Combustibile liquido: selezionare un'unità di misura tra m³ e L</t>
  </si>
  <si>
    <t>ℹ️ Combustibile solido: selezionare un'unità di misura tra Gg, t, Kg e g</t>
  </si>
  <si>
    <t>ℹ️ Gas combustibili: selezionare un'unità di misura tra m³ e L</t>
  </si>
  <si>
    <t>ℹ️ L'identificatore dell'impresa è un ID unico che consente di identificare l'impresa che ha fornito le informazioni. Il principio VSME non richiede alcun identificatore specifico. Un identificatore dell'impresa è necessario per la rendicontazione digitale.</t>
  </si>
  <si>
    <t>ℹ️ Se sul lato destro appare il messaggio INCOERENZA DI VALORE, assicurarsi che la data di fine del periodo di riferimento sia successiva alla data di inizio del periodo di riferimento.</t>
  </si>
  <si>
    <t>ℹ️ Le liste possono essere espanse utilizzando il pulsante piccolo [+] a sinistra. Se il numero di righe non è sufficiente, è possibile aggiungerle facendo clic con il tasto destro sulla seconda riga e selezionando "Inserisci riga".</t>
  </si>
  <si>
    <t xml:space="preserve">ℹ️ Quando si sceglie "altro" come forma giuridica dell'impresa, si prega di compilare la riga sottostante
</t>
  </si>
  <si>
    <t>ℹ️ Si prega di selezionare un codice NACE anziché una categoria, altrimenti verrà visualizzato un messaggio di ERRORE.</t>
  </si>
  <si>
    <t>ℹ️ Si prega di fare attenzione a separare ogni numero della via e numero civico utilizzando il simbolo barra "/" e non la virgola ","</t>
  </si>
  <si>
    <t>ℹ️ Si prega di notare che la formula presente in questa cella potrebbe essere sovrascritta nel caso in cui l'impresa voglia fornire direttamente il valore.</t>
  </si>
  <si>
    <t xml:space="preserve">ℹ️ Le categorie di ambito 3 secondo il GHG Protocol possono aiutare a calcolare le emissioni totali di gas a effetto serra di ambito 3. Nel caso in cui l'impresa lo desideri, può fornire direttamente le emissioni totali di gas a effetto serra di ambito 3 nella rispettiva cella.
</t>
  </si>
  <si>
    <t>ℹ️ Se viene visualizzata una convalida relativa all'incoerenza di valore, selezionare un ID sito diverso da quelli precedentemente selezionati.</t>
  </si>
  <si>
    <t>ℹ️ Si prega di selezionare un Tipo di rifiuto (Pericoloso o Non Pericoloso) piuttosto che una categoria altrimenti apparirà un messaggio di ERRORE.</t>
  </si>
  <si>
    <t>ℹ️ Si prega di assicurarsi che il numero totale di dipendenti sia lo stesso indicato nella cella E55 del foglio "Informazioni Generali"</t>
  </si>
  <si>
    <t>ℹ️ L'impresa può modificare il valore in questa cella poiché le 2.000 ore si basano sull'assunzione che un lavoratore a tempo pieno lavori 2.000 ore all'anno. Questo valore può variare a seconda del paese o del settore, in base a regole nazionali o accordi collettivi di lavoro.</t>
  </si>
  <si>
    <t>ℹ️ Controlla il sito EFRAG per un elenco non esaustivo di calcolatori di gas serra.</t>
  </si>
  <si>
    <t>B10 – Gennemsnitligt antal årlige uddannelsestimer pr. ansat i rapporteringsperioden</t>
  </si>
  <si>
    <t>B10 – Nombre moyen d'heures annuelles de formation par salarié au cours de la période de reporting</t>
  </si>
  <si>
    <t>B10 – Anzahl der jährlichen Schulungsstunden je Beschäftigtem im Berichtszeitraum</t>
  </si>
  <si>
    <t>B10 – Numero annuo di ore di formazione per dipendente durante il periodo di riferimento</t>
  </si>
  <si>
    <t>Tikrinimas gerai</t>
  </si>
  <si>
    <t>Mass / Volume</t>
  </si>
  <si>
    <t>Masse / Volume</t>
  </si>
  <si>
    <t>Massa / Volume</t>
  </si>
  <si>
    <t>Masa / Volumen</t>
  </si>
  <si>
    <t xml:space="preserve">Masowa / Objętość </t>
  </si>
  <si>
    <t>77-93</t>
  </si>
  <si>
    <r>
      <t xml:space="preserve">VSME Digital Template </t>
    </r>
    <r>
      <rPr>
        <b/>
        <i/>
        <sz val="80"/>
        <color theme="1"/>
        <rFont val="Aptos Narrow"/>
        <family val="2"/>
        <scheme val="minor"/>
      </rPr>
      <t>Sample</t>
    </r>
  </si>
  <si>
    <r>
      <rPr>
        <b/>
        <sz val="24"/>
        <color theme="1"/>
        <rFont val="Aptos Narrow"/>
        <family val="2"/>
        <scheme val="minor"/>
      </rPr>
      <t>Disclaimer:</t>
    </r>
    <r>
      <rPr>
        <sz val="24"/>
        <color theme="1"/>
        <rFont val="Aptos Narrow"/>
        <family val="2"/>
        <scheme val="minor"/>
      </rPr>
      <t xml:space="preserve"> This Excel template is intended for </t>
    </r>
    <r>
      <rPr>
        <b/>
        <sz val="24"/>
        <color theme="1"/>
        <rFont val="Aptos Narrow"/>
        <family val="2"/>
        <scheme val="minor"/>
      </rPr>
      <t>demonstration purposes</t>
    </r>
    <r>
      <rPr>
        <sz val="24"/>
        <color theme="1"/>
        <rFont val="Aptos Narrow"/>
        <family val="2"/>
        <scheme val="minor"/>
      </rPr>
      <t xml:space="preserve"> only. All entities, names, data, and related information contained herein are entirely fictitious. Any resemblance to actual companies or individuals is purely coincidental. This sample should not be interpreted as reflecting real-world data or business. practices.</t>
    </r>
  </si>
  <si>
    <t>Company XYZ</t>
  </si>
  <si>
    <t>TestCode1234</t>
  </si>
  <si>
    <t>Option B (Basic Module and Comprehensive Module)</t>
  </si>
  <si>
    <t>Sustainability report prepared on a consolidated basis</t>
  </si>
  <si>
    <t>NACE G - 47.22 Retail sale of meat and meat products</t>
  </si>
  <si>
    <t>NACE G - 47.21 Retail sale of fruit and vegetables</t>
  </si>
  <si>
    <t>Full-time equivalent (FTE)</t>
  </si>
  <si>
    <t>Company XYZ Subsidiary 1</t>
  </si>
  <si>
    <t>Street XYZ, Country</t>
  </si>
  <si>
    <t>Lorem ipsum dolor sit amet, consectetur adipiscing elit, sed do eiusmod tempor incididunt ut labore et dolore magna aliqua. 
Ut enim ad minim veniam, quis nostrud exercitation ullamco laboris nisi ut aliquip ex ea commodo consequat.</t>
  </si>
  <si>
    <t>Duomo Square</t>
  </si>
  <si>
    <t>20122</t>
  </si>
  <si>
    <t>Milan</t>
  </si>
  <si>
    <t xml:space="preserve">Lorem ipsum dolor sit amet, consectetur adipiscing elit, sed do eiusmod tempor incididunt ut labore et dolore magna aliqua. 
Ut enim ad minim veniam, quis nostrud exercitation ullamco laboris nisi ut aliquip ex ea commodo consequat.
 </t>
  </si>
  <si>
    <t>squared meters (m2)</t>
  </si>
  <si>
    <t>cubic meters (m3)</t>
  </si>
  <si>
    <t>Packaging, boxes for produce/meat</t>
  </si>
  <si>
    <t>Wrapping, trays, containers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</si>
</sst>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43"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1"/>
      <name val="Calibri"/>
      <family val="2"/>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
      <sz val="11"/>
      <color rgb="FF000000"/>
      <name val="Aptos Narrow"/>
      <family val="2"/>
      <scheme val="minor"/>
    </font>
    <font>
      <i/>
      <sz val="80"/>
      <color theme="1"/>
      <name val="Aptos Narrow"/>
      <family val="2"/>
      <scheme val="minor"/>
    </font>
    <font>
      <b/>
      <i/>
      <sz val="80"/>
      <color theme="1"/>
      <name val="Aptos Narrow"/>
      <family val="2"/>
      <scheme val="minor"/>
    </font>
    <font>
      <sz val="24"/>
      <color theme="1"/>
      <name val="Aptos Narrow"/>
      <family val="2"/>
      <scheme val="minor"/>
    </font>
  </fonts>
  <fills count="24">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theme="9" tint="0.79998168889431442"/>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diagonalUp="1" diagonalDown="1">
      <left style="medium">
        <color indexed="64"/>
      </left>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style="thin">
        <color indexed="64"/>
      </left>
      <right style="medium">
        <color indexed="64"/>
      </right>
      <top style="thin">
        <color indexed="64"/>
      </top>
      <bottom/>
      <diagonal style="thin">
        <color indexed="64"/>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230">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0" fontId="0" fillId="18" borderId="33" xfId="0" applyFill="1" applyBorder="1" applyAlignment="1">
      <alignment horizontal="center"/>
    </xf>
    <xf numFmtId="0" fontId="0" fillId="18" borderId="34" xfId="0" applyFill="1" applyBorder="1" applyAlignment="1">
      <alignment horizontal="center"/>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2" fillId="7" borderId="25" xfId="0" applyFont="1" applyFill="1" applyBorder="1" applyAlignment="1">
      <alignment horizontal="center" vertical="center"/>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1" fillId="0" borderId="0" xfId="3" applyFont="1" applyProtection="1"/>
    <xf numFmtId="0" fontId="10" fillId="0" borderId="0" xfId="0" applyFont="1"/>
    <xf numFmtId="0" fontId="9" fillId="0" borderId="0" xfId="0" applyFont="1" applyAlignment="1">
      <alignment horizontal="center" vertical="center"/>
    </xf>
    <xf numFmtId="0" fontId="0" fillId="0" borderId="25" xfId="0" applyBorder="1" applyAlignment="1">
      <alignment wrapText="1"/>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2" fillId="0" borderId="25" xfId="0" applyFont="1" applyBorder="1" applyAlignment="1">
      <alignment horizontal="center" vertical="center"/>
    </xf>
    <xf numFmtId="0" fontId="4" fillId="7" borderId="70" xfId="0" applyFont="1" applyFill="1" applyBorder="1"/>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9" fontId="0" fillId="7" borderId="89" xfId="1" applyFont="1" applyFill="1" applyBorder="1" applyAlignment="1" applyProtection="1">
      <alignment horizontal="right"/>
    </xf>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34" xfId="0" applyBorder="1"/>
    <xf numFmtId="0" fontId="2" fillId="0" borderId="7" xfId="0" applyFont="1" applyBorder="1" applyAlignment="1">
      <alignment horizontal="center" vertical="center" wrapText="1"/>
    </xf>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0" fontId="0" fillId="0" borderId="12" xfId="0" applyBorder="1" applyAlignment="1">
      <alignment horizontal="left"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0" fontId="0" fillId="0" borderId="45" xfId="0"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2" fillId="0" borderId="4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7" fillId="0" borderId="10" xfId="0" applyFont="1" applyBorder="1" applyAlignment="1">
      <alignment horizontal="center" vertical="center" wrapText="1"/>
    </xf>
    <xf numFmtId="0" fontId="0" fillId="7" borderId="0" xfId="0" quotePrefix="1" applyFill="1"/>
    <xf numFmtId="0" fontId="0" fillId="0" borderId="10" xfId="0" applyBorder="1" applyAlignment="1">
      <alignment horizontal="center" vertical="center" wrapText="1"/>
    </xf>
    <xf numFmtId="0" fontId="2" fillId="0" borderId="12" xfId="0" applyFont="1" applyBorder="1" applyAlignment="1">
      <alignment horizontal="center" vertical="center" wrapText="1"/>
    </xf>
    <xf numFmtId="0" fontId="7" fillId="0" borderId="30" xfId="0" applyFont="1" applyBorder="1" applyAlignment="1">
      <alignment horizontal="center" vertical="center" wrapText="1"/>
    </xf>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6" borderId="59" xfId="0" applyFill="1" applyBorder="1" applyAlignment="1" applyProtection="1">
      <alignment horizontal="center"/>
      <protection locked="0"/>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36"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0" fillId="7" borderId="39" xfId="0"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1" fillId="0" borderId="0" xfId="0" applyFont="1"/>
    <xf numFmtId="0" fontId="0" fillId="0" borderId="51" xfId="0" applyBorder="1" applyAlignment="1">
      <alignment horizontal="center" vertical="center" wrapText="1"/>
    </xf>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2" fillId="0" borderId="91" xfId="0" applyFont="1" applyBorder="1" applyAlignment="1">
      <alignment horizontal="center" vertical="center" wrapText="1"/>
    </xf>
    <xf numFmtId="0" fontId="2" fillId="0" borderId="42" xfId="0" applyFont="1" applyBorder="1" applyAlignment="1">
      <alignment horizontal="center" vertical="center" wrapText="1"/>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9" fillId="0" borderId="0" xfId="0" applyFont="1" applyAlignment="1">
      <alignment wrapText="1"/>
    </xf>
    <xf numFmtId="0" fontId="0" fillId="0" borderId="13" xfId="0" applyBorder="1" applyAlignment="1">
      <alignment horizontal="left" vertical="top"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0" borderId="26" xfId="0" applyBorder="1"/>
    <xf numFmtId="0" fontId="10" fillId="0" borderId="39" xfId="0" applyFont="1" applyBorder="1" applyAlignment="1">
      <alignment horizontal="center" vertical="center" wrapText="1"/>
    </xf>
    <xf numFmtId="0" fontId="10" fillId="0" borderId="48" xfId="0" applyFont="1" applyBorder="1" applyAlignment="1">
      <alignment horizontal="center" vertical="center" wrapText="1"/>
    </xf>
    <xf numFmtId="0" fontId="0" fillId="7" borderId="67" xfId="0" applyFill="1" applyBorder="1"/>
    <xf numFmtId="0" fontId="0" fillId="7" borderId="92"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43"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5" xfId="0" applyNumberFormat="1" applyBorder="1" applyAlignment="1" applyProtection="1">
      <alignment horizontal="right" vertical="center" wrapText="1"/>
      <protection locked="0"/>
    </xf>
    <xf numFmtId="2" fontId="0" fillId="13" borderId="51" xfId="0" applyNumberFormat="1" applyFill="1" applyBorder="1" applyAlignment="1">
      <alignment horizontal="right" vertical="center"/>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44"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2" fontId="0" fillId="13" borderId="58" xfId="0" applyNumberFormat="1" applyFill="1" applyBorder="1" applyAlignment="1">
      <alignment horizontal="right" vertical="center" wrapText="1"/>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0" fontId="1" fillId="6" borderId="14" xfId="0" applyFont="1" applyFill="1" applyBorder="1" applyAlignment="1" applyProtection="1">
      <alignment horizontal="lef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26" fillId="0" borderId="1" xfId="0" applyFont="1" applyBorder="1" applyAlignment="1">
      <alignment horizontal="center" vertical="center"/>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6" fillId="0" borderId="0" xfId="3" applyProtection="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7"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7" fillId="0" borderId="0" xfId="0" applyFont="1" applyAlignment="1">
      <alignment vertical="center"/>
    </xf>
    <xf numFmtId="0" fontId="27" fillId="21" borderId="2" xfId="0" applyFont="1" applyFill="1" applyBorder="1" applyAlignment="1">
      <alignment horizontal="left" vertical="center"/>
    </xf>
    <xf numFmtId="0" fontId="14" fillId="0" borderId="0" xfId="0" applyFont="1" applyAlignment="1">
      <alignment horizontal="center" vertical="center"/>
    </xf>
    <xf numFmtId="0" fontId="27" fillId="12" borderId="2" xfId="0" applyFont="1" applyFill="1" applyBorder="1" applyAlignment="1">
      <alignment horizontal="left" vertical="center"/>
    </xf>
    <xf numFmtId="0" fontId="18" fillId="0" borderId="0" xfId="0" applyFont="1" applyAlignment="1">
      <alignment vertical="center"/>
    </xf>
    <xf numFmtId="0" fontId="27" fillId="4" borderId="2" xfId="0" applyFont="1" applyFill="1" applyBorder="1" applyAlignment="1">
      <alignment horizontal="left" vertical="center"/>
    </xf>
    <xf numFmtId="0" fontId="28" fillId="13" borderId="2" xfId="0" applyFont="1" applyFill="1" applyBorder="1" applyAlignment="1">
      <alignment horizontal="left" vertical="center" wrapText="1"/>
    </xf>
    <xf numFmtId="0" fontId="18" fillId="0" borderId="0" xfId="0" applyFont="1" applyAlignment="1">
      <alignment vertical="center" wrapText="1"/>
    </xf>
    <xf numFmtId="0" fontId="28" fillId="19" borderId="2" xfId="0" applyFont="1" applyFill="1" applyBorder="1" applyAlignment="1">
      <alignment horizontal="left" vertical="center" wrapText="1"/>
    </xf>
    <xf numFmtId="0" fontId="28" fillId="6" borderId="2" xfId="0" applyFont="1" applyFill="1" applyBorder="1" applyAlignment="1">
      <alignment horizontal="left" vertical="center" wrapText="1"/>
    </xf>
    <xf numFmtId="0" fontId="27" fillId="10" borderId="2" xfId="0" applyFont="1" applyFill="1" applyBorder="1" applyAlignment="1">
      <alignment horizontal="left" vertical="center" wrapText="1"/>
    </xf>
    <xf numFmtId="0" fontId="27"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7" fillId="0" borderId="43" xfId="0" applyFont="1" applyBorder="1" applyAlignment="1">
      <alignment horizontal="left" vertical="center"/>
    </xf>
    <xf numFmtId="0" fontId="18" fillId="0" borderId="0" xfId="0" applyFont="1" applyAlignment="1">
      <alignment horizontal="left" vertical="center" wrapText="1"/>
    </xf>
    <xf numFmtId="0" fontId="0" fillId="7" borderId="28" xfId="0" applyFill="1" applyBorder="1"/>
    <xf numFmtId="0" fontId="34" fillId="0" borderId="42" xfId="0" applyFont="1" applyBorder="1" applyAlignment="1">
      <alignment horizontal="center"/>
    </xf>
    <xf numFmtId="0" fontId="2" fillId="7" borderId="11" xfId="0" applyFont="1" applyFill="1" applyBorder="1" applyAlignment="1">
      <alignment horizontal="center" vertical="center"/>
    </xf>
    <xf numFmtId="0" fontId="0" fillId="7" borderId="30" xfId="0" applyFill="1" applyBorder="1" applyAlignment="1">
      <alignment horizontal="center" vertical="center"/>
    </xf>
    <xf numFmtId="0" fontId="34" fillId="0" borderId="51" xfId="0" applyFont="1" applyBorder="1" applyAlignment="1">
      <alignment horizontal="center" vertical="center"/>
    </xf>
    <xf numFmtId="0" fontId="7" fillId="7" borderId="39" xfId="3" applyFont="1" applyFill="1" applyBorder="1" applyProtection="1"/>
    <xf numFmtId="0" fontId="2" fillId="6" borderId="51" xfId="0" applyFont="1" applyFill="1" applyBorder="1" applyAlignment="1">
      <alignment horizontal="center" vertical="center"/>
    </xf>
    <xf numFmtId="0" fontId="6" fillId="7" borderId="90" xfId="3" quotePrefix="1" applyFill="1" applyBorder="1" applyAlignment="1" applyProtection="1">
      <alignment wrapText="1"/>
    </xf>
    <xf numFmtId="0" fontId="2" fillId="7" borderId="85" xfId="0" applyFont="1" applyFill="1" applyBorder="1" applyAlignment="1">
      <alignment horizontal="center" vertical="center"/>
    </xf>
    <xf numFmtId="0" fontId="6" fillId="7" borderId="30" xfId="3" quotePrefix="1" applyFill="1" applyBorder="1" applyAlignment="1" applyProtection="1">
      <alignment wrapText="1"/>
    </xf>
    <xf numFmtId="0" fontId="2" fillId="6" borderId="85" xfId="0" applyFont="1" applyFill="1" applyBorder="1" applyAlignment="1">
      <alignment horizontal="center" vertical="center"/>
    </xf>
    <xf numFmtId="0" fontId="6" fillId="7" borderId="25" xfId="3" applyFill="1" applyBorder="1" applyAlignment="1" applyProtection="1">
      <alignment wrapText="1"/>
    </xf>
    <xf numFmtId="0" fontId="7" fillId="7" borderId="39" xfId="3" applyFont="1" applyFill="1" applyBorder="1" applyAlignment="1" applyProtection="1">
      <alignment wrapText="1"/>
    </xf>
    <xf numFmtId="0" fontId="2" fillId="0" borderId="85" xfId="0" applyFont="1" applyBorder="1" applyAlignment="1">
      <alignment horizontal="center" vertical="center"/>
    </xf>
    <xf numFmtId="0" fontId="2" fillId="7" borderId="44" xfId="0" applyFont="1" applyFill="1" applyBorder="1" applyAlignment="1">
      <alignment horizontal="center" vertical="center"/>
    </xf>
    <xf numFmtId="0" fontId="7" fillId="7" borderId="25" xfId="3" applyFont="1" applyFill="1" applyBorder="1" applyAlignment="1" applyProtection="1">
      <alignment wrapText="1"/>
    </xf>
    <xf numFmtId="0" fontId="7" fillId="7" borderId="25" xfId="3" quotePrefix="1" applyFont="1" applyFill="1" applyBorder="1" applyAlignment="1" applyProtection="1">
      <alignment wrapText="1"/>
    </xf>
    <xf numFmtId="0" fontId="2" fillId="7" borderId="58" xfId="0" applyFont="1" applyFill="1" applyBorder="1" applyAlignment="1">
      <alignment horizontal="center" vertical="center"/>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0" fontId="0" fillId="19" borderId="56"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10" xfId="0" applyBorder="1" applyProtection="1">
      <protection locked="0"/>
    </xf>
    <xf numFmtId="0" fontId="0" fillId="0" borderId="12" xfId="0" applyBorder="1" applyProtection="1">
      <protection locked="0"/>
    </xf>
    <xf numFmtId="0" fontId="0" fillId="0" borderId="1" xfId="0" applyBorder="1" applyAlignment="1" applyProtection="1">
      <alignment horizontal="center" wrapText="1"/>
      <protection locked="0"/>
    </xf>
    <xf numFmtId="0" fontId="0" fillId="0" borderId="1" xfId="0" applyBorder="1" applyAlignment="1">
      <alignment vertical="center" wrapText="1"/>
    </xf>
    <xf numFmtId="0" fontId="0" fillId="0" borderId="1" xfId="0" applyBorder="1" applyAlignment="1">
      <alignment horizontal="center"/>
    </xf>
    <xf numFmtId="0" fontId="0" fillId="0" borderId="1" xfId="0" applyBorder="1" applyAlignment="1">
      <alignment horizontal="center" vertical="center"/>
    </xf>
    <xf numFmtId="0" fontId="2" fillId="0" borderId="1" xfId="0" applyFont="1" applyBorder="1"/>
    <xf numFmtId="0" fontId="2" fillId="0" borderId="1" xfId="0" applyFont="1" applyBorder="1" applyAlignment="1">
      <alignment vertical="center"/>
    </xf>
    <xf numFmtId="0" fontId="2" fillId="0" borderId="1" xfId="0" applyFont="1" applyBorder="1" applyAlignment="1">
      <alignment vertical="center" wrapText="1"/>
    </xf>
    <xf numFmtId="0" fontId="0" fillId="0" borderId="1" xfId="0" quotePrefix="1" applyBorder="1" applyAlignment="1">
      <alignment horizontal="center" vertical="center" wrapText="1"/>
    </xf>
    <xf numFmtId="0" fontId="0" fillId="16" borderId="94"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27" fillId="7" borderId="75" xfId="0" applyFont="1" applyFill="1" applyBorder="1"/>
    <xf numFmtId="0" fontId="2" fillId="7" borderId="0" xfId="0" applyFont="1" applyFill="1"/>
    <xf numFmtId="0" fontId="29"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0" fontId="2" fillId="7" borderId="35" xfId="0" applyFont="1" applyFill="1" applyBorder="1" applyAlignment="1">
      <alignment horizontal="center"/>
    </xf>
    <xf numFmtId="0" fontId="2" fillId="7" borderId="71" xfId="0" applyFont="1" applyFill="1" applyBorder="1" applyAlignment="1">
      <alignment horizontal="center"/>
    </xf>
    <xf numFmtId="166" fontId="0" fillId="13" borderId="56" xfId="0" applyNumberFormat="1" applyFill="1" applyBorder="1" applyAlignment="1">
      <alignment horizontal="center"/>
    </xf>
    <xf numFmtId="166" fontId="0" fillId="13" borderId="94" xfId="0" applyNumberFormat="1" applyFill="1" applyBorder="1" applyAlignment="1">
      <alignment horizontal="center"/>
    </xf>
    <xf numFmtId="166" fontId="0" fillId="13" borderId="49" xfId="0" applyNumberFormat="1" applyFill="1" applyBorder="1" applyAlignment="1">
      <alignment horizontal="center"/>
    </xf>
    <xf numFmtId="0" fontId="2" fillId="7" borderId="25" xfId="0" applyFont="1" applyFill="1" applyBorder="1" applyAlignment="1">
      <alignment horizontal="center"/>
    </xf>
    <xf numFmtId="0" fontId="2" fillId="0" borderId="63" xfId="0" applyFont="1" applyBorder="1" applyAlignment="1">
      <alignment horizontal="center"/>
    </xf>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0" fillId="7" borderId="0" xfId="0" applyFill="1" applyAlignment="1">
      <alignment wrapText="1"/>
    </xf>
    <xf numFmtId="166" fontId="0" fillId="13" borderId="36" xfId="0" applyNumberFormat="1" applyFill="1" applyBorder="1" applyAlignment="1">
      <alignment horizontal="center"/>
    </xf>
    <xf numFmtId="166" fontId="0" fillId="13" borderId="93"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0" xfId="2" applyNumberFormat="1" applyFont="1" applyFill="1" applyBorder="1" applyAlignment="1">
      <alignment horizontal="center" vertical="center"/>
    </xf>
    <xf numFmtId="0" fontId="0" fillId="0" borderId="21" xfId="0" applyBorder="1"/>
    <xf numFmtId="0" fontId="0" fillId="0" borderId="25" xfId="0" applyBorder="1" applyAlignment="1">
      <alignment horizontal="center" vertical="center" wrapText="1"/>
    </xf>
    <xf numFmtId="0" fontId="0" fillId="19" borderId="44" xfId="0" applyFill="1" applyBorder="1" applyAlignment="1">
      <alignment horizontal="left" vertical="center" wrapText="1"/>
    </xf>
    <xf numFmtId="0" fontId="0" fillId="19" borderId="51" xfId="0" applyFill="1" applyBorder="1" applyAlignment="1">
      <alignment horizontal="left" vertical="top" wrapText="1"/>
    </xf>
    <xf numFmtId="0" fontId="0" fillId="0" borderId="39" xfId="0" applyBorder="1" applyAlignment="1">
      <alignment wrapText="1"/>
    </xf>
    <xf numFmtId="0" fontId="0" fillId="0" borderId="0" xfId="0" applyAlignment="1">
      <alignment horizontal="left" vertical="center"/>
    </xf>
    <xf numFmtId="0" fontId="0" fillId="0" borderId="0" xfId="0" quotePrefix="1" applyAlignment="1">
      <alignment horizontal="left" vertical="center"/>
    </xf>
    <xf numFmtId="0" fontId="0" fillId="0" borderId="22" xfId="0" applyBorder="1" applyAlignment="1">
      <alignment horizontal="left"/>
    </xf>
    <xf numFmtId="0" fontId="33" fillId="7" borderId="25" xfId="3" quotePrefix="1" applyFont="1" applyFill="1" applyBorder="1" applyAlignment="1" applyProtection="1">
      <alignment wrapText="1"/>
    </xf>
    <xf numFmtId="0" fontId="35" fillId="7" borderId="25" xfId="0" applyFont="1" applyFill="1" applyBorder="1" applyAlignment="1">
      <alignment horizontal="center"/>
    </xf>
    <xf numFmtId="0" fontId="34" fillId="7" borderId="25" xfId="0" applyFont="1" applyFill="1" applyBorder="1" applyAlignment="1">
      <alignment wrapText="1"/>
    </xf>
    <xf numFmtId="0" fontId="6" fillId="7" borderId="25" xfId="3" quotePrefix="1" applyFill="1" applyBorder="1" applyAlignment="1" applyProtection="1">
      <alignment wrapText="1"/>
    </xf>
    <xf numFmtId="0" fontId="33" fillId="7" borderId="90" xfId="3" quotePrefix="1" applyFont="1" applyFill="1" applyBorder="1" applyAlignment="1" applyProtection="1">
      <alignment wrapText="1"/>
    </xf>
    <xf numFmtId="0" fontId="6" fillId="7" borderId="90" xfId="3" applyFill="1" applyBorder="1" applyAlignment="1" applyProtection="1">
      <alignment wrapText="1"/>
    </xf>
    <xf numFmtId="0" fontId="6" fillId="7" borderId="49" xfId="3" quotePrefix="1" applyFill="1" applyBorder="1" applyAlignment="1" applyProtection="1">
      <alignment wrapText="1"/>
    </xf>
    <xf numFmtId="0" fontId="6" fillId="7" borderId="45" xfId="3" quotePrefix="1" applyFill="1" applyBorder="1" applyAlignment="1" applyProtection="1">
      <alignment wrapText="1"/>
    </xf>
    <xf numFmtId="0" fontId="0" fillId="0" borderId="0" xfId="0" applyAlignment="1">
      <alignment horizontal="center"/>
    </xf>
    <xf numFmtId="0" fontId="0" fillId="0" borderId="22" xfId="0" applyBorder="1" applyAlignment="1">
      <alignment horizontal="left" vertical="center"/>
    </xf>
    <xf numFmtId="0" fontId="36"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7" fillId="7" borderId="0" xfId="0" applyFont="1" applyFill="1"/>
    <xf numFmtId="0" fontId="37" fillId="7" borderId="0" xfId="3" applyFont="1" applyFill="1" applyProtection="1"/>
    <xf numFmtId="0" fontId="6" fillId="0" borderId="1" xfId="3" applyFill="1" applyBorder="1" applyAlignment="1" applyProtection="1">
      <alignment horizontal="center" vertical="center" wrapText="1"/>
    </xf>
    <xf numFmtId="0" fontId="6" fillId="0" borderId="48" xfId="3" applyFill="1" applyBorder="1" applyAlignment="1" applyProtection="1">
      <alignment horizontal="center" vertical="center" wrapText="1"/>
    </xf>
    <xf numFmtId="0" fontId="6" fillId="0" borderId="1" xfId="3" applyFill="1" applyBorder="1" applyAlignment="1">
      <alignment horizontal="center" vertical="center" wrapText="1"/>
    </xf>
    <xf numFmtId="0" fontId="6" fillId="0" borderId="2" xfId="3" applyFill="1" applyBorder="1" applyAlignment="1" applyProtection="1">
      <alignment horizontal="center" vertical="center" wrapText="1"/>
    </xf>
    <xf numFmtId="49" fontId="6" fillId="0" borderId="2" xfId="3" applyNumberFormat="1" applyFill="1" applyBorder="1" applyAlignment="1" applyProtection="1">
      <alignment horizontal="center" vertical="center" wrapText="1"/>
    </xf>
    <xf numFmtId="0" fontId="6" fillId="0" borderId="2" xfId="3" applyFill="1" applyBorder="1" applyAlignment="1">
      <alignment horizontal="center" vertical="center" wrapText="1"/>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6" fillId="0" borderId="5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6" fillId="0" borderId="53"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0" fontId="6" fillId="0" borderId="47" xfId="3" applyFill="1" applyBorder="1" applyAlignment="1" applyProtection="1">
      <alignment horizontal="center" vertical="center" wrapText="1"/>
    </xf>
    <xf numFmtId="0" fontId="6" fillId="0" borderId="46" xfId="3"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wrapText="1"/>
    </xf>
    <xf numFmtId="0" fontId="0" fillId="0" borderId="22" xfId="0" quotePrefix="1" applyBorder="1" applyAlignment="1">
      <alignment horizontal="left" vertical="center"/>
    </xf>
    <xf numFmtId="0" fontId="0" fillId="0" borderId="22" xfId="0" applyBorder="1" applyAlignment="1">
      <alignment wrapText="1"/>
    </xf>
    <xf numFmtId="0" fontId="0" fillId="0" borderId="34" xfId="0" quotePrefix="1" applyBorder="1" applyAlignment="1">
      <alignment horizontal="left" vertical="center"/>
    </xf>
    <xf numFmtId="0" fontId="0" fillId="0" borderId="34" xfId="0" applyBorder="1" applyAlignment="1">
      <alignment horizontal="left"/>
    </xf>
    <xf numFmtId="0" fontId="0" fillId="0" borderId="0" xfId="0" applyAlignment="1">
      <alignment horizontal="left" indent="2"/>
    </xf>
    <xf numFmtId="0" fontId="0" fillId="0" borderId="0" xfId="0" applyAlignment="1">
      <alignment horizontal="left" indent="1"/>
    </xf>
    <xf numFmtId="0" fontId="6" fillId="0" borderId="0" xfId="3" applyAlignment="1">
      <alignment horizontal="center" vertical="center"/>
    </xf>
    <xf numFmtId="0" fontId="9" fillId="0" borderId="5" xfId="0" applyFont="1" applyBorder="1"/>
    <xf numFmtId="0" fontId="6" fillId="0" borderId="0" xfId="3" applyProtection="1">
      <protection locked="0"/>
    </xf>
    <xf numFmtId="0" fontId="10" fillId="0" borderId="46" xfId="0" applyFont="1" applyBorder="1" applyAlignment="1">
      <alignment horizontal="center" vertical="center" wrapText="1"/>
    </xf>
    <xf numFmtId="0" fontId="0" fillId="6" borderId="1" xfId="0" applyFill="1" applyBorder="1" applyProtection="1">
      <protection locked="0"/>
    </xf>
    <xf numFmtId="0" fontId="0" fillId="13" borderId="14" xfId="0" applyFill="1" applyBorder="1" applyAlignment="1" applyProtection="1">
      <alignment horizontal="center" wrapText="1"/>
      <protection locked="0"/>
    </xf>
    <xf numFmtId="2" fontId="0" fillId="0" borderId="48" xfId="0" applyNumberFormat="1" applyBorder="1" applyAlignment="1" applyProtection="1">
      <alignment horizontal="right" vertical="center"/>
      <protection locked="0"/>
    </xf>
    <xf numFmtId="0" fontId="0" fillId="0" borderId="0" xfId="0" applyAlignment="1">
      <alignment horizontal="left" vertical="center" wrapText="1"/>
    </xf>
    <xf numFmtId="0" fontId="9" fillId="0" borderId="0" xfId="0" applyFont="1" applyAlignment="1">
      <alignment horizontal="left" vertical="top" wrapText="1"/>
    </xf>
    <xf numFmtId="0" fontId="9" fillId="0" borderId="22" xfId="0" applyFont="1" applyBorder="1" applyAlignment="1">
      <alignment horizontal="left" vertical="top" wrapText="1"/>
    </xf>
    <xf numFmtId="0" fontId="9" fillId="0" borderId="34" xfId="0" applyFont="1" applyBorder="1" applyAlignment="1">
      <alignment horizontal="left" vertical="top" wrapText="1"/>
    </xf>
    <xf numFmtId="0" fontId="2" fillId="0" borderId="1" xfId="0" applyFont="1" applyBorder="1" applyAlignment="1">
      <alignment wrapText="1"/>
    </xf>
    <xf numFmtId="0" fontId="0" fillId="0" borderId="1" xfId="0" applyBorder="1" applyAlignment="1">
      <alignment horizontal="center" wrapText="1"/>
    </xf>
    <xf numFmtId="0" fontId="0" fillId="0" borderId="22" xfId="0" applyBorder="1" applyAlignment="1">
      <alignment horizontal="left" wrapText="1"/>
    </xf>
    <xf numFmtId="0" fontId="0" fillId="0" borderId="34" xfId="0" applyBorder="1" applyAlignment="1">
      <alignment horizontal="left" wrapText="1"/>
    </xf>
    <xf numFmtId="0" fontId="0" fillId="0" borderId="22" xfId="0" applyBorder="1" applyAlignment="1">
      <alignment horizontal="left" vertical="center" wrapText="1"/>
    </xf>
    <xf numFmtId="0" fontId="39" fillId="0" borderId="0" xfId="0" applyFont="1" applyAlignment="1">
      <alignment wrapText="1"/>
    </xf>
    <xf numFmtId="0" fontId="0" fillId="0" borderId="18" xfId="0" applyBorder="1" applyAlignment="1">
      <alignment vertical="center" wrapText="1"/>
    </xf>
    <xf numFmtId="0" fontId="39" fillId="0" borderId="0" xfId="0" applyFont="1" applyAlignment="1">
      <alignment vertical="center" wrapText="1"/>
    </xf>
    <xf numFmtId="0" fontId="39" fillId="0" borderId="22" xfId="0" applyFont="1" applyBorder="1" applyAlignment="1">
      <alignment wrapText="1"/>
    </xf>
    <xf numFmtId="0" fontId="0" fillId="0" borderId="34" xfId="0" applyBorder="1" applyAlignment="1">
      <alignment horizontal="left" vertical="center" wrapText="1"/>
    </xf>
    <xf numFmtId="0" fontId="0" fillId="7" borderId="46" xfId="0" applyFill="1" applyBorder="1"/>
    <xf numFmtId="0" fontId="0" fillId="7" borderId="5" xfId="0" applyFill="1" applyBorder="1"/>
    <xf numFmtId="0" fontId="0" fillId="7" borderId="53" xfId="0" applyFill="1" applyBorder="1"/>
    <xf numFmtId="0" fontId="0" fillId="16" borderId="71" xfId="0" applyFill="1" applyBorder="1" applyAlignment="1">
      <alignment horizontal="center" vertical="center"/>
    </xf>
    <xf numFmtId="0" fontId="0" fillId="7" borderId="54" xfId="0" applyFill="1" applyBorder="1"/>
    <xf numFmtId="0" fontId="0" fillId="13" borderId="71" xfId="2" applyNumberFormat="1" applyFont="1" applyFill="1" applyBorder="1" applyAlignment="1">
      <alignment horizontal="center" vertic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0" fontId="0" fillId="16" borderId="62" xfId="0" applyFill="1" applyBorder="1" applyAlignment="1">
      <alignment horizontal="center"/>
    </xf>
    <xf numFmtId="0" fontId="0" fillId="7" borderId="40" xfId="0" applyFill="1" applyBorder="1"/>
    <xf numFmtId="0" fontId="2" fillId="13" borderId="9" xfId="2" applyNumberFormat="1" applyFont="1" applyFill="1" applyBorder="1" applyAlignment="1">
      <alignment horizontal="center" vertical="center"/>
    </xf>
    <xf numFmtId="0" fontId="0" fillId="7" borderId="29" xfId="2" applyNumberFormat="1" applyFont="1" applyFill="1" applyBorder="1" applyAlignment="1">
      <alignment horizontal="center" vertical="center"/>
    </xf>
    <xf numFmtId="0" fontId="0" fillId="7" borderId="55" xfId="2" applyNumberFormat="1" applyFont="1" applyFill="1" applyBorder="1" applyAlignment="1">
      <alignment horizontal="right" vertical="center"/>
    </xf>
    <xf numFmtId="0" fontId="0" fillId="7" borderId="43" xfId="0" applyFill="1" applyBorder="1"/>
    <xf numFmtId="0" fontId="0" fillId="7" borderId="55" xfId="0" applyFill="1" applyBorder="1" applyAlignment="1">
      <alignment horizontal="right"/>
    </xf>
    <xf numFmtId="0" fontId="0" fillId="23" borderId="0" xfId="0" applyFill="1"/>
    <xf numFmtId="0" fontId="0" fillId="16" borderId="93" xfId="0" applyFill="1" applyBorder="1" applyAlignment="1" applyProtection="1">
      <alignment horizontal="center"/>
      <protection locked="0"/>
    </xf>
    <xf numFmtId="0" fontId="0" fillId="16" borderId="36" xfId="0" applyFill="1" applyBorder="1" applyAlignment="1" applyProtection="1">
      <alignment horizontal="center"/>
      <protection locked="0"/>
    </xf>
    <xf numFmtId="0" fontId="40" fillId="7" borderId="28" xfId="0" applyFont="1" applyFill="1" applyBorder="1" applyAlignment="1">
      <alignment horizontal="center" vertical="center"/>
    </xf>
    <xf numFmtId="0" fontId="40" fillId="7" borderId="29" xfId="0" applyFont="1" applyFill="1" applyBorder="1" applyAlignment="1">
      <alignment horizontal="center" vertical="center"/>
    </xf>
    <xf numFmtId="0" fontId="40" fillId="7" borderId="31" xfId="0" applyFont="1" applyFill="1" applyBorder="1" applyAlignment="1">
      <alignment horizontal="center" vertical="center"/>
    </xf>
    <xf numFmtId="0" fontId="40" fillId="7" borderId="25" xfId="0" applyFont="1" applyFill="1" applyBorder="1" applyAlignment="1">
      <alignment horizontal="center" vertical="center"/>
    </xf>
    <xf numFmtId="0" fontId="40" fillId="7" borderId="0" xfId="0" applyFont="1" applyFill="1" applyAlignment="1">
      <alignment horizontal="center" vertical="center"/>
    </xf>
    <xf numFmtId="0" fontId="40" fillId="7" borderId="26" xfId="0" applyFont="1" applyFill="1" applyBorder="1" applyAlignment="1">
      <alignment horizontal="center" vertical="center"/>
    </xf>
    <xf numFmtId="0" fontId="40" fillId="7" borderId="45" xfId="0" applyFont="1" applyFill="1" applyBorder="1" applyAlignment="1">
      <alignment horizontal="center" vertical="center"/>
    </xf>
    <xf numFmtId="0" fontId="40" fillId="7" borderId="22" xfId="0" applyFont="1" applyFill="1" applyBorder="1" applyAlignment="1">
      <alignment horizontal="center" vertical="center"/>
    </xf>
    <xf numFmtId="0" fontId="40" fillId="7" borderId="23" xfId="0" applyFont="1" applyFill="1" applyBorder="1" applyAlignment="1">
      <alignment horizontal="center" vertical="center"/>
    </xf>
    <xf numFmtId="0" fontId="42" fillId="7" borderId="28" xfId="0" applyFont="1" applyFill="1" applyBorder="1" applyAlignment="1">
      <alignment horizontal="left" vertical="top" wrapText="1"/>
    </xf>
    <xf numFmtId="0" fontId="42" fillId="7" borderId="29" xfId="0" applyFont="1" applyFill="1" applyBorder="1" applyAlignment="1">
      <alignment horizontal="left" vertical="top" wrapText="1"/>
    </xf>
    <xf numFmtId="0" fontId="42" fillId="7" borderId="31" xfId="0" applyFont="1" applyFill="1" applyBorder="1" applyAlignment="1">
      <alignment horizontal="left" vertical="top" wrapText="1"/>
    </xf>
    <xf numFmtId="0" fontId="42" fillId="7" borderId="25" xfId="0" applyFont="1" applyFill="1" applyBorder="1" applyAlignment="1">
      <alignment horizontal="left" vertical="top" wrapText="1"/>
    </xf>
    <xf numFmtId="0" fontId="42" fillId="7" borderId="0" xfId="0" applyFont="1" applyFill="1" applyAlignment="1">
      <alignment horizontal="left" vertical="top" wrapText="1"/>
    </xf>
    <xf numFmtId="0" fontId="42" fillId="7" borderId="26" xfId="0" applyFont="1" applyFill="1" applyBorder="1" applyAlignment="1">
      <alignment horizontal="left" vertical="top" wrapText="1"/>
    </xf>
    <xf numFmtId="0" fontId="42" fillId="7" borderId="45" xfId="0" applyFont="1" applyFill="1" applyBorder="1" applyAlignment="1">
      <alignment horizontal="left" vertical="top" wrapText="1"/>
    </xf>
    <xf numFmtId="0" fontId="42" fillId="7" borderId="22" xfId="0" applyFont="1" applyFill="1" applyBorder="1" applyAlignment="1">
      <alignment horizontal="left" vertical="top" wrapText="1"/>
    </xf>
    <xf numFmtId="0" fontId="42" fillId="7" borderId="23" xfId="0" applyFont="1" applyFill="1" applyBorder="1" applyAlignment="1">
      <alignment horizontal="left" vertical="top" wrapText="1"/>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0" fillId="0" borderId="0" xfId="0" applyAlignment="1">
      <alignment horizontal="left" vertical="center"/>
    </xf>
    <xf numFmtId="0" fontId="6" fillId="0" borderId="10" xfId="3" applyFill="1" applyBorder="1" applyAlignment="1" applyProtection="1">
      <alignment horizontal="center" vertical="center"/>
    </xf>
    <xf numFmtId="0" fontId="6" fillId="0" borderId="3" xfId="3" applyFill="1" applyBorder="1" applyAlignment="1" applyProtection="1">
      <alignment horizontal="center" vertical="center"/>
    </xf>
    <xf numFmtId="0" fontId="6" fillId="0" borderId="21" xfId="3" applyFill="1" applyBorder="1" applyAlignment="1" applyProtection="1">
      <alignment horizontal="center" vertical="center"/>
    </xf>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0" fillId="0" borderId="6" xfId="0" applyBorder="1" applyAlignment="1">
      <alignment horizontal="center" vertical="center" wrapText="1"/>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6" xfId="0" applyBorder="1" applyAlignment="1">
      <alignment horizontal="center" vertical="center"/>
    </xf>
    <xf numFmtId="0" fontId="0" fillId="6" borderId="37"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36" xfId="0" applyFill="1" applyBorder="1" applyAlignment="1" applyProtection="1">
      <alignment horizontal="left" vertical="top" wrapText="1"/>
      <protection locked="0"/>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0" borderId="0" xfId="0" applyFont="1" applyAlignment="1">
      <alignment horizontal="center" vertical="center" wrapText="1"/>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6" borderId="19" xfId="0" applyFill="1" applyBorder="1" applyAlignment="1">
      <alignment horizontal="left" vertical="center"/>
    </xf>
    <xf numFmtId="0" fontId="0" fillId="6" borderId="20" xfId="0" applyFill="1" applyBorder="1" applyAlignment="1">
      <alignment horizontal="left" vertical="center"/>
    </xf>
    <xf numFmtId="0" fontId="6" fillId="0" borderId="5" xfId="3" applyFill="1" applyBorder="1" applyAlignment="1" applyProtection="1">
      <alignment horizontal="center" vertical="center"/>
    </xf>
    <xf numFmtId="0" fontId="6" fillId="0" borderId="47" xfId="3" applyFill="1" applyBorder="1" applyAlignment="1" applyProtection="1">
      <alignment horizontal="center" vertical="center"/>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31" xfId="0" applyFont="1" applyFill="1" applyBorder="1" applyAlignment="1">
      <alignment horizontal="center" vertical="center" wrapText="1"/>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0" xfId="0"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wrapText="1"/>
    </xf>
    <xf numFmtId="0" fontId="0" fillId="0" borderId="1" xfId="0" applyBorder="1" applyAlignment="1">
      <alignment horizontal="left" vertical="top" wrapText="1"/>
    </xf>
    <xf numFmtId="0" fontId="6" fillId="0" borderId="48" xfId="3" applyFill="1" applyBorder="1" applyAlignment="1" applyProtection="1">
      <alignment horizontal="center" vertical="center" wrapText="1"/>
    </xf>
    <xf numFmtId="0" fontId="6" fillId="0" borderId="50" xfId="3" applyFill="1" applyBorder="1" applyAlignment="1" applyProtection="1">
      <alignment horizontal="center" vertical="center" wrapText="1"/>
    </xf>
    <xf numFmtId="49" fontId="6" fillId="0" borderId="46" xfId="3" applyNumberFormat="1" applyFill="1" applyBorder="1" applyAlignment="1" applyProtection="1">
      <alignment horizontal="center" vertical="center" wrapText="1"/>
    </xf>
    <xf numFmtId="49" fontId="6" fillId="0" borderId="55" xfId="3" applyNumberFormat="1" applyFill="1" applyBorder="1" applyAlignment="1" applyProtection="1">
      <alignment horizontal="center" vertical="center" wrapText="1"/>
    </xf>
    <xf numFmtId="0" fontId="0" fillId="0" borderId="18" xfId="0" applyBorder="1" applyAlignment="1">
      <alignment vertical="center"/>
    </xf>
    <xf numFmtId="0" fontId="0" fillId="0" borderId="1"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10" xfId="0" applyBorder="1" applyAlignment="1">
      <alignment horizontal="left" vertical="center" wrapText="1"/>
    </xf>
    <xf numFmtId="0" fontId="0" fillId="0" borderId="4" xfId="0" applyBorder="1" applyAlignment="1">
      <alignment horizontal="left" vertical="center" wrapText="1"/>
    </xf>
    <xf numFmtId="0" fontId="0" fillId="0" borderId="52" xfId="0" applyBorder="1" applyAlignment="1">
      <alignment horizontal="left" vertical="center"/>
    </xf>
    <xf numFmtId="0" fontId="0" fillId="0" borderId="53" xfId="0" applyBorder="1" applyAlignment="1">
      <alignment horizontal="left" vertical="center"/>
    </xf>
    <xf numFmtId="0" fontId="0" fillId="0" borderId="25" xfId="0" applyBorder="1" applyAlignment="1">
      <alignment horizontal="left" vertical="center"/>
    </xf>
    <xf numFmtId="0" fontId="0" fillId="0" borderId="54" xfId="0" applyBorder="1" applyAlignment="1">
      <alignment horizontal="left" vertical="center"/>
    </xf>
    <xf numFmtId="0" fontId="6" fillId="0" borderId="6" xfId="3" applyFill="1" applyBorder="1" applyAlignment="1" applyProtection="1">
      <alignment horizontal="center" vertical="center" wrapText="1"/>
    </xf>
    <xf numFmtId="0" fontId="6" fillId="0" borderId="2" xfId="3" applyFill="1" applyBorder="1" applyAlignment="1" applyProtection="1">
      <alignment horizontal="center" vertical="center" wrapText="1"/>
    </xf>
    <xf numFmtId="0" fontId="0" fillId="6" borderId="18" xfId="0" applyFill="1" applyBorder="1" applyAlignment="1">
      <alignment vertical="center"/>
    </xf>
    <xf numFmtId="0" fontId="0" fillId="6" borderId="1" xfId="0" applyFill="1" applyBorder="1" applyAlignment="1">
      <alignment vertical="center"/>
    </xf>
    <xf numFmtId="14" fontId="1" fillId="13" borderId="20" xfId="2" applyNumberFormat="1" applyFill="1" applyBorder="1" applyAlignment="1">
      <alignment horizontal="center" vertical="center"/>
    </xf>
    <xf numFmtId="14" fontId="1" fillId="13" borderId="14" xfId="2" applyNumberFormat="1" applyFill="1" applyBorder="1" applyAlignment="1">
      <alignment horizontal="center" vertical="center"/>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0" fillId="6" borderId="52" xfId="0" applyFill="1" applyBorder="1" applyAlignment="1">
      <alignment horizontal="left" vertical="center" wrapText="1"/>
    </xf>
    <xf numFmtId="0" fontId="0" fillId="6" borderId="53" xfId="0" applyFill="1" applyBorder="1" applyAlignment="1">
      <alignment horizontal="left" vertical="center" wrapText="1"/>
    </xf>
    <xf numFmtId="0" fontId="0" fillId="6" borderId="25" xfId="0" applyFill="1" applyBorder="1" applyAlignment="1">
      <alignment horizontal="left" vertical="center" wrapText="1"/>
    </xf>
    <xf numFmtId="0" fontId="0" fillId="6" borderId="54" xfId="0" applyFill="1" applyBorder="1" applyAlignment="1">
      <alignment horizontal="left" vertical="center" wrapText="1"/>
    </xf>
    <xf numFmtId="0" fontId="0" fillId="0" borderId="52" xfId="0" applyBorder="1" applyAlignment="1">
      <alignment horizontal="left" vertical="center" wrapText="1"/>
    </xf>
    <xf numFmtId="0" fontId="0" fillId="0" borderId="53" xfId="0" applyBorder="1" applyAlignment="1">
      <alignment horizontal="left" vertical="center" wrapText="1"/>
    </xf>
    <xf numFmtId="0" fontId="0" fillId="0" borderId="25" xfId="0" applyBorder="1" applyAlignment="1">
      <alignment horizontal="left" vertical="center" wrapText="1"/>
    </xf>
    <xf numFmtId="0" fontId="0" fillId="0" borderId="54" xfId="0" applyBorder="1" applyAlignment="1">
      <alignment horizontal="left" vertical="center" wrapText="1"/>
    </xf>
    <xf numFmtId="0" fontId="10" fillId="0" borderId="51" xfId="0" applyFont="1" applyBorder="1" applyAlignment="1">
      <alignment horizontal="center" vertical="center" wrapText="1"/>
    </xf>
    <xf numFmtId="0" fontId="10" fillId="0" borderId="85" xfId="0" applyFont="1" applyBorder="1" applyAlignment="1">
      <alignment horizontal="center" vertical="center" wrapText="1"/>
    </xf>
    <xf numFmtId="0" fontId="6" fillId="0" borderId="53" xfId="3" applyFill="1" applyBorder="1" applyAlignment="1" applyProtection="1">
      <alignment horizontal="center" vertical="center" wrapText="1"/>
    </xf>
    <xf numFmtId="0" fontId="6" fillId="0" borderId="54" xfId="3" applyFill="1" applyBorder="1" applyAlignment="1" applyProtection="1">
      <alignment horizontal="center" vertical="center" wrapText="1"/>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15" borderId="7" xfId="0" applyFont="1" applyFill="1" applyBorder="1" applyAlignment="1">
      <alignment horizontal="center"/>
    </xf>
    <xf numFmtId="0" fontId="2" fillId="15" borderId="8" xfId="0" applyFont="1" applyFill="1" applyBorder="1" applyAlignment="1">
      <alignment horizontal="center"/>
    </xf>
    <xf numFmtId="0" fontId="2" fillId="15" borderId="9" xfId="0" applyFont="1" applyFill="1" applyBorder="1" applyAlignment="1">
      <alignment horizontal="center"/>
    </xf>
    <xf numFmtId="0" fontId="0" fillId="0" borderId="32" xfId="0" applyBorder="1" applyAlignment="1">
      <alignment horizontal="left" vertical="top" wrapText="1"/>
    </xf>
    <xf numFmtId="0" fontId="0" fillId="0" borderId="57" xfId="0" applyBorder="1" applyAlignment="1">
      <alignment horizontal="left" vertical="top" wrapText="1"/>
    </xf>
    <xf numFmtId="0" fontId="2" fillId="21" borderId="15" xfId="0" applyFont="1" applyFill="1" applyBorder="1" applyAlignment="1">
      <alignment horizontal="center"/>
    </xf>
    <xf numFmtId="0" fontId="2" fillId="21" borderId="16" xfId="0" applyFont="1" applyFill="1" applyBorder="1" applyAlignment="1">
      <alignment horizontal="center"/>
    </xf>
    <xf numFmtId="0" fontId="2" fillId="21" borderId="17" xfId="0" applyFont="1" applyFill="1" applyBorder="1" applyAlignment="1">
      <alignment horizontal="center"/>
    </xf>
    <xf numFmtId="0" fontId="0" fillId="0" borderId="18" xfId="0" applyBorder="1" applyAlignment="1">
      <alignment horizontal="left" vertical="center" wrapText="1"/>
    </xf>
    <xf numFmtId="0" fontId="0" fillId="0" borderId="1" xfId="0" applyBorder="1" applyAlignment="1">
      <alignment horizontal="left" vertical="center" wrapText="1"/>
    </xf>
    <xf numFmtId="0" fontId="6" fillId="0" borderId="25" xfId="3" applyFill="1" applyBorder="1" applyAlignment="1" applyProtection="1">
      <alignment horizontal="center" vertical="center"/>
    </xf>
    <xf numFmtId="0" fontId="6" fillId="0" borderId="0" xfId="3" applyFill="1" applyBorder="1" applyAlignment="1" applyProtection="1">
      <alignment horizontal="center" vertical="center"/>
    </xf>
    <xf numFmtId="0" fontId="6" fillId="0" borderId="26" xfId="3" applyFill="1" applyBorder="1" applyAlignment="1" applyProtection="1">
      <alignment horizontal="center" vertical="center"/>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0" fontId="2" fillId="12" borderId="7" xfId="0" applyFont="1" applyFill="1" applyBorder="1" applyAlignment="1">
      <alignment horizontal="center" vertical="center"/>
    </xf>
    <xf numFmtId="0" fontId="2" fillId="12" borderId="9" xfId="0" applyFont="1" applyFill="1" applyBorder="1" applyAlignment="1">
      <alignment horizontal="center" vertical="center"/>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0" fontId="6" fillId="0" borderId="25" xfId="3" applyFill="1" applyBorder="1" applyAlignment="1" applyProtection="1">
      <alignment horizontal="center" vertical="center" wrapText="1"/>
    </xf>
    <xf numFmtId="0" fontId="6" fillId="0" borderId="0" xfId="3" applyFill="1" applyBorder="1" applyAlignment="1" applyProtection="1">
      <alignment horizontal="center" vertical="center" wrapText="1"/>
    </xf>
    <xf numFmtId="0" fontId="6" fillId="0" borderId="26" xfId="3" applyFill="1" applyBorder="1" applyAlignment="1" applyProtection="1">
      <alignment horizontal="center" vertical="center" wrapText="1"/>
    </xf>
    <xf numFmtId="0" fontId="6" fillId="0" borderId="10" xfId="3" applyFill="1" applyBorder="1" applyAlignment="1" applyProtection="1">
      <alignment horizontal="center" vertical="center" wrapText="1"/>
    </xf>
    <xf numFmtId="0" fontId="6" fillId="0" borderId="3" xfId="3" applyFill="1" applyBorder="1" applyAlignment="1" applyProtection="1">
      <alignment horizontal="center" vertical="center" wrapText="1"/>
    </xf>
    <xf numFmtId="0" fontId="6" fillId="0" borderId="21" xfId="3" applyFill="1" applyBorder="1" applyAlignment="1" applyProtection="1">
      <alignment horizontal="center" vertical="center" wrapText="1"/>
    </xf>
    <xf numFmtId="0" fontId="6" fillId="0" borderId="18" xfId="3" applyBorder="1" applyAlignment="1">
      <alignment horizontal="center"/>
    </xf>
    <xf numFmtId="0" fontId="6" fillId="0" borderId="11" xfId="3" applyBorder="1" applyAlignment="1">
      <alignment horizontal="center"/>
    </xf>
    <xf numFmtId="0" fontId="4" fillId="19" borderId="39" xfId="0" applyFont="1" applyFill="1" applyBorder="1" applyAlignment="1">
      <alignment horizontal="left" vertical="center" wrapText="1"/>
    </xf>
    <xf numFmtId="0" fontId="4" fillId="19" borderId="90" xfId="0" applyFont="1" applyFill="1" applyBorder="1" applyAlignment="1">
      <alignment horizontal="left" vertical="center" wrapText="1"/>
    </xf>
    <xf numFmtId="0" fontId="4" fillId="19" borderId="10" xfId="0" applyFont="1" applyFill="1" applyBorder="1" applyAlignment="1">
      <alignment horizontal="left" vertical="center" wrapText="1"/>
    </xf>
    <xf numFmtId="0" fontId="4" fillId="19" borderId="4"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6" fillId="0" borderId="10" xfId="3" applyNumberFormat="1" applyFill="1" applyBorder="1" applyAlignment="1" applyProtection="1">
      <alignment horizontal="center" vertical="center" wrapText="1"/>
    </xf>
    <xf numFmtId="49" fontId="6" fillId="0" borderId="3" xfId="3" applyNumberFormat="1" applyFill="1" applyBorder="1" applyAlignment="1" applyProtection="1">
      <alignment horizontal="center" vertical="center" wrapText="1"/>
    </xf>
    <xf numFmtId="49" fontId="6" fillId="0" borderId="21" xfId="3" applyNumberFormat="1" applyFill="1" applyBorder="1" applyAlignment="1" applyProtection="1">
      <alignment horizontal="center" vertical="center" wrapText="1"/>
    </xf>
    <xf numFmtId="0" fontId="0" fillId="0" borderId="1" xfId="0" applyBorder="1" applyAlignment="1">
      <alignment horizontal="center" vertical="center" wrapText="1"/>
    </xf>
    <xf numFmtId="0" fontId="0" fillId="0" borderId="51" xfId="0" applyBorder="1" applyAlignment="1">
      <alignment horizontal="center" vertical="center" wrapText="1"/>
    </xf>
    <xf numFmtId="0" fontId="0" fillId="0" borderId="44" xfId="0" applyBorder="1" applyAlignment="1">
      <alignment horizontal="center" vertical="center" wrapText="1"/>
    </xf>
    <xf numFmtId="0" fontId="0" fillId="0" borderId="39" xfId="0" applyBorder="1" applyAlignment="1">
      <alignment horizontal="center" vertical="center"/>
    </xf>
    <xf numFmtId="0" fontId="0" fillId="0" borderId="90" xfId="0" applyBorder="1" applyAlignment="1">
      <alignment horizontal="center" vertical="center"/>
    </xf>
    <xf numFmtId="0" fontId="0" fillId="0" borderId="30" xfId="0" applyBorder="1" applyAlignment="1">
      <alignment horizontal="center" vertical="center"/>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0" fillId="6" borderId="36" xfId="0" applyFill="1" applyBorder="1" applyAlignment="1" applyProtection="1">
      <alignment horizontal="left" vertical="center" wrapText="1"/>
      <protection locked="0"/>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6" borderId="1" xfId="0" applyNumberFormat="1" applyFill="1" applyBorder="1" applyAlignment="1" applyProtection="1">
      <alignment horizontal="right"/>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0" fillId="0" borderId="1" xfId="0" applyBorder="1" applyAlignment="1" applyProtection="1">
      <alignment horizontal="center" vertical="center"/>
      <protection locked="0"/>
    </xf>
    <xf numFmtId="0" fontId="2" fillId="0" borderId="6" xfId="0" applyFont="1" applyBorder="1" applyAlignment="1">
      <alignment horizontal="left"/>
    </xf>
    <xf numFmtId="0" fontId="2" fillId="0" borderId="44" xfId="0" applyFont="1" applyBorder="1" applyAlignment="1">
      <alignment horizontal="left"/>
    </xf>
    <xf numFmtId="0" fontId="2" fillId="0" borderId="1" xfId="0" applyFont="1" applyBorder="1" applyAlignment="1">
      <alignment horizontal="left"/>
    </xf>
    <xf numFmtId="0" fontId="2" fillId="0" borderId="11" xfId="0" applyFont="1" applyBorder="1" applyAlignment="1">
      <alignment horizontal="left"/>
    </xf>
    <xf numFmtId="0" fontId="0" fillId="13" borderId="16" xfId="0" applyFill="1" applyBorder="1" applyAlignment="1">
      <alignment horizontal="center"/>
    </xf>
    <xf numFmtId="0" fontId="0" fillId="0" borderId="1" xfId="0" applyBorder="1" applyAlignment="1" applyProtection="1">
      <alignment vertical="center" wrapText="1"/>
      <protection locked="0"/>
    </xf>
    <xf numFmtId="0" fontId="6" fillId="0" borderId="18" xfId="3" applyFill="1" applyBorder="1" applyAlignment="1" applyProtection="1">
      <alignment horizontal="center" vertical="center" wrapText="1"/>
    </xf>
    <xf numFmtId="0" fontId="6" fillId="0" borderId="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0" fillId="6" borderId="1" xfId="0" applyFill="1" applyBorder="1" applyAlignment="1" applyProtection="1">
      <alignment horizontal="center"/>
      <protection locked="0"/>
    </xf>
    <xf numFmtId="0" fontId="0" fillId="0" borderId="0" xfId="0"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left" vertical="center" wrapText="1"/>
    </xf>
    <xf numFmtId="0" fontId="2" fillId="0" borderId="25" xfId="0" applyFont="1" applyBorder="1" applyAlignment="1">
      <alignment horizontal="center" vertical="center"/>
    </xf>
    <xf numFmtId="0" fontId="6" fillId="0" borderId="48" xfId="3" applyFill="1" applyBorder="1" applyAlignment="1" applyProtection="1">
      <alignment horizontal="center" vertical="center"/>
    </xf>
    <xf numFmtId="0" fontId="6" fillId="0" borderId="50" xfId="3" applyFill="1" applyBorder="1" applyAlignment="1" applyProtection="1">
      <alignment horizontal="center" vertical="center"/>
    </xf>
    <xf numFmtId="0" fontId="6" fillId="0" borderId="6" xfId="3" applyFill="1" applyBorder="1" applyAlignment="1" applyProtection="1">
      <alignment horizontal="center" vertical="center"/>
    </xf>
    <xf numFmtId="0" fontId="6" fillId="0" borderId="51" xfId="3" applyFill="1" applyBorder="1" applyAlignment="1" applyProtection="1">
      <alignment horizontal="center" vertical="center" wrapText="1"/>
    </xf>
    <xf numFmtId="0" fontId="6" fillId="0" borderId="85" xfId="3" applyFill="1" applyBorder="1" applyAlignment="1" applyProtection="1">
      <alignment horizontal="center" vertical="center" wrapText="1"/>
    </xf>
    <xf numFmtId="0" fontId="6" fillId="0" borderId="44" xfId="3" applyFill="1" applyBorder="1" applyAlignment="1" applyProtection="1">
      <alignment horizontal="center" vertical="center" wrapText="1"/>
    </xf>
    <xf numFmtId="0" fontId="0" fillId="0" borderId="39" xfId="0" applyBorder="1" applyAlignment="1">
      <alignment horizontal="left" vertical="center" wrapText="1"/>
    </xf>
    <xf numFmtId="0" fontId="0" fillId="0" borderId="90"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6" borderId="18" xfId="0" applyNumberFormat="1" applyFill="1" applyBorder="1" applyAlignment="1" applyProtection="1">
      <alignment horizontal="right"/>
      <protection locked="0"/>
    </xf>
    <xf numFmtId="0" fontId="2" fillId="0" borderId="0" xfId="0" applyFont="1" applyAlignment="1">
      <alignment horizontal="center" vertical="center"/>
    </xf>
    <xf numFmtId="2" fontId="0" fillId="13" borderId="19" xfId="0" applyNumberFormat="1" applyFill="1" applyBorder="1" applyAlignment="1">
      <alignment horizontal="right"/>
    </xf>
    <xf numFmtId="2" fontId="0" fillId="13" borderId="20" xfId="0" applyNumberFormat="1" applyFill="1" applyBorder="1" applyAlignment="1">
      <alignment horizontal="right"/>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6" borderId="21" xfId="0" applyNumberFormat="1" applyFill="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2" fontId="0" fillId="13" borderId="37" xfId="0" applyNumberFormat="1" applyFill="1" applyBorder="1" applyAlignment="1">
      <alignment horizontal="right"/>
    </xf>
    <xf numFmtId="2" fontId="0" fillId="13" borderId="6" xfId="2" applyFont="1" applyFill="1" applyBorder="1" applyAlignment="1">
      <alignment horizontal="right" vertical="center"/>
    </xf>
    <xf numFmtId="2" fontId="0" fillId="13" borderId="44" xfId="2" applyFont="1" applyFill="1" applyBorder="1" applyAlignment="1">
      <alignment horizontal="right" vertical="center"/>
    </xf>
    <xf numFmtId="2" fontId="0" fillId="13" borderId="37"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36" xfId="2" applyFont="1" applyFill="1" applyBorder="1" applyAlignment="1">
      <alignment horizontal="right" vertical="center"/>
    </xf>
    <xf numFmtId="0" fontId="25" fillId="19" borderId="3" xfId="0" applyFont="1" applyFill="1" applyBorder="1" applyAlignment="1">
      <alignment horizont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2" fontId="0" fillId="6" borderId="4" xfId="0" applyNumberFormat="1" applyFill="1" applyBorder="1" applyAlignment="1" applyProtection="1">
      <alignment horizontal="right"/>
      <protection locked="0"/>
    </xf>
    <xf numFmtId="2" fontId="0" fillId="6" borderId="37" xfId="0" applyNumberFormat="1" applyFill="1" applyBorder="1" applyAlignment="1" applyProtection="1">
      <alignment horizontal="right"/>
      <protection locked="0"/>
    </xf>
    <xf numFmtId="2" fontId="0" fillId="6" borderId="27" xfId="0" applyNumberFormat="1" applyFill="1" applyBorder="1" applyAlignment="1" applyProtection="1">
      <alignment horizontal="right"/>
      <protection locked="0"/>
    </xf>
    <xf numFmtId="2" fontId="0" fillId="6" borderId="13"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48" xfId="0" applyFill="1" applyBorder="1" applyAlignment="1" applyProtection="1">
      <alignment horizontal="center"/>
      <protection locked="0"/>
    </xf>
    <xf numFmtId="2" fontId="0" fillId="0" borderId="2" xfId="0" applyNumberFormat="1" applyBorder="1" applyAlignment="1" applyProtection="1">
      <alignment horizontal="right"/>
      <protection locked="0"/>
    </xf>
    <xf numFmtId="2" fontId="0" fillId="0" borderId="3" xfId="0" applyNumberFormat="1" applyBorder="1" applyAlignment="1" applyProtection="1">
      <alignment horizontal="right"/>
      <protection locked="0"/>
    </xf>
    <xf numFmtId="2" fontId="0" fillId="0" borderId="21" xfId="0" applyNumberFormat="1" applyBorder="1" applyAlignment="1" applyProtection="1">
      <alignment horizontal="right"/>
      <protection locked="0"/>
    </xf>
    <xf numFmtId="0" fontId="6" fillId="0" borderId="49" xfId="3" applyFill="1" applyBorder="1" applyAlignment="1" applyProtection="1">
      <alignment horizontal="center" vertical="center" wrapText="1"/>
    </xf>
    <xf numFmtId="0" fontId="6" fillId="0" borderId="41" xfId="3" applyFill="1" applyBorder="1" applyAlignment="1" applyProtection="1">
      <alignment horizontal="center" vertical="center" wrapText="1"/>
    </xf>
    <xf numFmtId="0" fontId="6" fillId="0" borderId="56" xfId="3" applyFill="1" applyBorder="1" applyAlignment="1" applyProtection="1">
      <alignment horizontal="center" vertical="center" wrapText="1"/>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6" fillId="0" borderId="52" xfId="3" applyFill="1" applyBorder="1" applyAlignment="1" applyProtection="1">
      <alignment horizontal="center" vertical="center"/>
    </xf>
    <xf numFmtId="0" fontId="6" fillId="0" borderId="62" xfId="3" applyFill="1" applyBorder="1" applyAlignment="1" applyProtection="1">
      <alignment horizontal="center" vertical="center"/>
    </xf>
    <xf numFmtId="0" fontId="2" fillId="3" borderId="59" xfId="0" applyFont="1" applyFill="1" applyBorder="1" applyAlignment="1">
      <alignment horizontal="center"/>
    </xf>
    <xf numFmtId="0" fontId="2" fillId="4" borderId="38" xfId="0" applyFont="1" applyFill="1" applyBorder="1" applyAlignment="1">
      <alignment horizontal="center"/>
    </xf>
    <xf numFmtId="0" fontId="2" fillId="4" borderId="67" xfId="0" applyFont="1" applyFill="1" applyBorder="1" applyAlignment="1">
      <alignment horizont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6" fillId="0" borderId="18" xfId="3" applyFill="1" applyBorder="1" applyAlignment="1" applyProtection="1">
      <alignment horizontal="center" vertical="center"/>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0" fillId="0" borderId="12" xfId="0" applyBorder="1" applyAlignment="1">
      <alignment horizontal="left"/>
    </xf>
    <xf numFmtId="0" fontId="0" fillId="0" borderId="27" xfId="0" applyBorder="1" applyAlignment="1">
      <alignment horizontal="left"/>
    </xf>
    <xf numFmtId="0" fontId="0" fillId="0" borderId="13"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2" fontId="0" fillId="0" borderId="37" xfId="0" applyNumberFormat="1" applyBorder="1" applyAlignment="1" applyProtection="1">
      <alignment horizontal="right"/>
      <protection locked="0"/>
    </xf>
    <xf numFmtId="2" fontId="0" fillId="0" borderId="27" xfId="0" applyNumberFormat="1" applyBorder="1" applyAlignment="1" applyProtection="1">
      <alignment horizontal="right"/>
      <protection locked="0"/>
    </xf>
    <xf numFmtId="2" fontId="0" fillId="0" borderId="36" xfId="0" applyNumberFormat="1" applyBorder="1" applyAlignment="1" applyProtection="1">
      <alignment horizontal="right"/>
      <protection locked="0"/>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6" borderId="1" xfId="0" applyNumberFormat="1" applyFill="1" applyBorder="1" applyAlignment="1" applyProtection="1">
      <alignment horizontal="right" vertical="center"/>
      <protection locked="0"/>
    </xf>
    <xf numFmtId="0" fontId="6" fillId="0" borderId="8" xfId="3" applyFill="1" applyBorder="1" applyAlignment="1" applyProtection="1">
      <alignment horizontal="center" vertical="center"/>
    </xf>
    <xf numFmtId="0" fontId="0" fillId="19" borderId="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8" xfId="0" applyFont="1" applyBorder="1" applyAlignment="1">
      <alignment horizontal="center" vertical="center" wrapText="1"/>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xf numFmtId="0" fontId="6" fillId="0" borderId="27" xfId="3" applyFill="1" applyBorder="1"/>
    <xf numFmtId="0" fontId="6" fillId="0" borderId="13" xfId="3" applyFill="1" applyBorder="1"/>
    <xf numFmtId="0" fontId="4" fillId="7" borderId="86" xfId="0" applyFont="1" applyFill="1" applyBorder="1" applyAlignment="1">
      <alignment horizontal="center"/>
    </xf>
    <xf numFmtId="0" fontId="4" fillId="7" borderId="87" xfId="0" applyFont="1" applyFill="1" applyBorder="1" applyAlignment="1">
      <alignment horizontal="center"/>
    </xf>
    <xf numFmtId="0" fontId="4" fillId="7" borderId="88" xfId="0" applyFont="1" applyFill="1" applyBorder="1" applyAlignment="1">
      <alignment horizontal="center"/>
    </xf>
    <xf numFmtId="0" fontId="4" fillId="19" borderId="7" xfId="0" applyFont="1" applyFill="1" applyBorder="1" applyAlignment="1">
      <alignment horizontal="left" vertical="center"/>
    </xf>
    <xf numFmtId="0" fontId="4" fillId="19" borderId="8" xfId="0" applyFont="1" applyFill="1" applyBorder="1" applyAlignment="1">
      <alignment horizontal="left" vertical="center"/>
    </xf>
    <xf numFmtId="0" fontId="4" fillId="19" borderId="73" xfId="0" applyFont="1" applyFill="1" applyBorder="1" applyAlignment="1">
      <alignment horizontal="left" vertical="center"/>
    </xf>
    <xf numFmtId="0" fontId="2" fillId="0" borderId="11" xfId="0" applyFont="1" applyBorder="1" applyAlignment="1">
      <alignment horizontal="center" vertical="center"/>
    </xf>
    <xf numFmtId="0" fontId="2" fillId="13" borderId="48" xfId="2" applyNumberFormat="1" applyFont="1" applyFill="1" applyBorder="1" applyAlignment="1">
      <alignment horizontal="center"/>
    </xf>
    <xf numFmtId="0" fontId="2" fillId="13" borderId="51" xfId="2" applyNumberFormat="1" applyFont="1" applyFill="1" applyBorder="1" applyAlignment="1">
      <alignment horizontal="center"/>
    </xf>
    <xf numFmtId="0" fontId="0" fillId="0" borderId="2" xfId="0" applyBorder="1" applyAlignment="1">
      <alignment horizontal="left" vertical="center" wrapText="1"/>
    </xf>
    <xf numFmtId="0" fontId="0" fillId="0" borderId="37" xfId="0" applyBorder="1" applyAlignment="1">
      <alignment horizontal="left" vertical="center" wrapText="1"/>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0" fontId="0" fillId="6" borderId="1" xfId="0" applyFill="1" applyBorder="1" applyAlignment="1" applyProtection="1">
      <alignment horizontal="center" vertical="center" wrapText="1"/>
      <protection locked="0"/>
    </xf>
    <xf numFmtId="0" fontId="2" fillId="4" borderId="38"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0" fillId="6" borderId="2" xfId="0" applyFill="1" applyBorder="1" applyAlignment="1" applyProtection="1">
      <alignment horizontal="center" vertical="center" wrapText="1"/>
      <protection locked="0"/>
    </xf>
    <xf numFmtId="0" fontId="0" fillId="6" borderId="3" xfId="0" applyFill="1" applyBorder="1" applyAlignment="1" applyProtection="1">
      <alignment horizontal="center" vertical="center" wrapText="1"/>
      <protection locked="0"/>
    </xf>
    <xf numFmtId="0" fontId="0" fillId="6" borderId="21" xfId="0" applyFill="1" applyBorder="1" applyAlignment="1" applyProtection="1">
      <alignment horizontal="center" vertical="center" wrapText="1"/>
      <protection locked="0"/>
    </xf>
    <xf numFmtId="0" fontId="4" fillId="19" borderId="3" xfId="0" applyFont="1" applyFill="1" applyBorder="1" applyAlignment="1">
      <alignment horizontal="left" vertical="center" wrapText="1"/>
    </xf>
    <xf numFmtId="0" fontId="4"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1" xfId="0" applyNumberFormat="1" applyFill="1" applyBorder="1" applyAlignment="1">
      <alignment horizontal="right"/>
    </xf>
    <xf numFmtId="0" fontId="2" fillId="0" borderId="1" xfId="0" applyFont="1" applyBorder="1" applyAlignment="1">
      <alignment horizontal="center" vertical="center" wrapText="1"/>
    </xf>
    <xf numFmtId="0" fontId="7" fillId="0" borderId="10" xfId="3" applyFont="1" applyBorder="1" applyAlignment="1" applyProtection="1">
      <alignment horizontal="center" vertical="center" wrapText="1"/>
    </xf>
    <xf numFmtId="0" fontId="7" fillId="0" borderId="3" xfId="3" applyFont="1" applyBorder="1" applyAlignment="1" applyProtection="1">
      <alignment horizontal="center" vertical="center" wrapText="1"/>
    </xf>
    <xf numFmtId="0" fontId="7" fillId="0" borderId="21" xfId="3" applyFont="1" applyBorder="1" applyAlignment="1" applyProtection="1">
      <alignment horizontal="center" vertical="center" wrapText="1"/>
    </xf>
    <xf numFmtId="0" fontId="0" fillId="6" borderId="52" xfId="0" applyFill="1" applyBorder="1" applyAlignment="1" applyProtection="1">
      <alignment horizontal="center"/>
      <protection locked="0"/>
    </xf>
    <xf numFmtId="0" fontId="0" fillId="6" borderId="5" xfId="0" applyFill="1" applyBorder="1" applyAlignment="1" applyProtection="1">
      <alignment horizontal="center"/>
      <protection locked="0"/>
    </xf>
    <xf numFmtId="0" fontId="0" fillId="6" borderId="47" xfId="0" applyFill="1" applyBorder="1" applyAlignment="1" applyProtection="1">
      <alignment horizontal="center"/>
      <protection locked="0"/>
    </xf>
    <xf numFmtId="0" fontId="13"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8" xfId="0" applyFill="1" applyBorder="1" applyAlignment="1" applyProtection="1">
      <alignment horizontal="center"/>
      <protection locked="0"/>
    </xf>
    <xf numFmtId="2" fontId="0" fillId="13" borderId="30" xfId="2" applyFont="1" applyFill="1" applyBorder="1" applyAlignment="1">
      <alignment horizontal="right" vertical="center"/>
    </xf>
    <xf numFmtId="2" fontId="0" fillId="13" borderId="12" xfId="2" applyFont="1" applyFill="1" applyBorder="1" applyAlignment="1">
      <alignment horizontal="right" vertical="center"/>
    </xf>
    <xf numFmtId="2" fontId="0" fillId="13" borderId="13" xfId="2" applyFont="1" applyFill="1" applyBorder="1" applyAlignment="1">
      <alignment horizontal="right" vertical="center"/>
    </xf>
    <xf numFmtId="0" fontId="0" fillId="0" borderId="48" xfId="0" applyBorder="1" applyAlignment="1">
      <alignment horizontal="left" vertical="center" wrapText="1"/>
    </xf>
    <xf numFmtId="170" fontId="0" fillId="13" borderId="48" xfId="2" applyNumberFormat="1" applyFont="1" applyFill="1" applyBorder="1" applyAlignment="1">
      <alignment horizontal="right"/>
    </xf>
    <xf numFmtId="170" fontId="0" fillId="13" borderId="51" xfId="2" applyNumberFormat="1" applyFont="1" applyFill="1" applyBorder="1" applyAlignment="1">
      <alignment horizontal="right"/>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21"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70" fontId="0" fillId="13" borderId="37" xfId="2" applyNumberFormat="1" applyFont="1" applyFill="1" applyBorder="1" applyAlignment="1">
      <alignment horizontal="right"/>
    </xf>
    <xf numFmtId="170" fontId="0" fillId="13" borderId="27" xfId="2" applyNumberFormat="1" applyFont="1" applyFill="1" applyBorder="1" applyAlignment="1">
      <alignment horizontal="right"/>
    </xf>
    <xf numFmtId="170" fontId="0" fillId="13" borderId="36" xfId="2" applyNumberFormat="1" applyFont="1" applyFill="1" applyBorder="1" applyAlignment="1">
      <alignment horizontal="right"/>
    </xf>
    <xf numFmtId="0" fontId="6" fillId="6" borderId="1" xfId="3" applyFill="1" applyBorder="1" applyAlignment="1" applyProtection="1">
      <alignment horizontal="center"/>
      <protection locked="0"/>
    </xf>
    <xf numFmtId="0" fontId="0" fillId="6" borderId="11" xfId="0" applyFill="1" applyBorder="1" applyAlignment="1" applyProtection="1">
      <alignment horizontal="center"/>
      <protection locked="0"/>
    </xf>
    <xf numFmtId="0" fontId="6" fillId="0" borderId="7" xfId="3" applyFill="1" applyBorder="1" applyAlignment="1" applyProtection="1">
      <alignment horizontal="center" vertical="center"/>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7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4" xfId="0" applyFont="1" applyBorder="1" applyAlignment="1">
      <alignment horizontal="center" vertical="center" wrapText="1"/>
    </xf>
    <xf numFmtId="2" fontId="0" fillId="6" borderId="20" xfId="0" applyNumberFormat="1" applyFill="1" applyBorder="1" applyAlignment="1" applyProtection="1">
      <alignment horizontal="right"/>
      <protection locked="0"/>
    </xf>
    <xf numFmtId="0" fontId="2" fillId="0" borderId="25" xfId="0"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0" fontId="2" fillId="3" borderId="28" xfId="0" applyFont="1" applyFill="1" applyBorder="1" applyAlignment="1">
      <alignment horizontal="center" vertical="center"/>
    </xf>
    <xf numFmtId="0" fontId="2" fillId="3" borderId="67" xfId="0" applyFont="1" applyFill="1" applyBorder="1" applyAlignment="1">
      <alignment horizontal="center" vertical="center"/>
    </xf>
    <xf numFmtId="0" fontId="6" fillId="0" borderId="64" xfId="3" applyFill="1" applyBorder="1" applyAlignment="1" applyProtection="1">
      <alignment horizontal="center" vertical="center" wrapText="1"/>
    </xf>
    <xf numFmtId="2" fontId="0" fillId="6" borderId="27" xfId="0" applyNumberFormat="1" applyFill="1" applyBorder="1" applyAlignment="1" applyProtection="1">
      <alignment horizontal="right" wrapText="1"/>
      <protection locked="0"/>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20" xfId="0" applyBorder="1" applyAlignment="1" applyProtection="1">
      <alignment horizontal="center" vertical="center"/>
      <protection locked="0"/>
    </xf>
    <xf numFmtId="0" fontId="2" fillId="0" borderId="6" xfId="0" applyFont="1" applyBorder="1" applyAlignment="1">
      <alignment horizontal="center" vertical="center" wrapText="1"/>
    </xf>
    <xf numFmtId="0" fontId="0" fillId="0" borderId="6" xfId="0" applyBorder="1" applyAlignment="1" applyProtection="1">
      <alignment vertical="center" wrapText="1"/>
      <protection locked="0"/>
    </xf>
    <xf numFmtId="0" fontId="2" fillId="0" borderId="6" xfId="0" applyFont="1" applyBorder="1" applyAlignment="1">
      <alignment horizontal="center" vertical="center"/>
    </xf>
    <xf numFmtId="2" fontId="0" fillId="13" borderId="40" xfId="2" applyFont="1" applyFill="1" applyBorder="1" applyAlignment="1">
      <alignment horizontal="right" vertical="center"/>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0" fillId="6" borderId="12" xfId="0" applyFill="1" applyBorder="1" applyAlignment="1" applyProtection="1">
      <alignment horizontal="left" vertical="top" wrapText="1"/>
      <protection locked="0"/>
    </xf>
    <xf numFmtId="0" fontId="6" fillId="0" borderId="64" xfId="3" applyFill="1" applyBorder="1" applyAlignment="1" applyProtection="1">
      <alignment horizontal="center" vertical="center"/>
    </xf>
    <xf numFmtId="0" fontId="2" fillId="4" borderId="28" xfId="0" applyFont="1" applyFill="1" applyBorder="1" applyAlignment="1">
      <alignment horizontal="center"/>
    </xf>
    <xf numFmtId="170" fontId="0" fillId="13" borderId="2" xfId="2" applyNumberFormat="1" applyFont="1" applyFill="1" applyBorder="1" applyAlignment="1">
      <alignment horizontal="right"/>
    </xf>
    <xf numFmtId="170" fontId="0" fillId="13" borderId="3" xfId="2" applyNumberFormat="1" applyFont="1" applyFill="1" applyBorder="1" applyAlignment="1">
      <alignment horizontal="right"/>
    </xf>
    <xf numFmtId="170" fontId="0" fillId="13" borderId="21" xfId="2" applyNumberFormat="1" applyFont="1" applyFill="1" applyBorder="1" applyAlignment="1">
      <alignment horizontal="right"/>
    </xf>
    <xf numFmtId="0" fontId="2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0"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2" fontId="0" fillId="13" borderId="14" xfId="0" applyNumberFormat="1" applyFill="1" applyBorder="1" applyAlignment="1">
      <alignment horizontal="right"/>
    </xf>
    <xf numFmtId="2" fontId="0" fillId="13" borderId="11" xfId="0" applyNumberFormat="1" applyFill="1" applyBorder="1" applyAlignment="1">
      <alignment horizontal="right"/>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2" fillId="0" borderId="11" xfId="0" applyFont="1" applyBorder="1" applyAlignment="1">
      <alignment horizontal="center" vertical="center" wrapText="1"/>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20" xfId="0" applyFont="1" applyBorder="1" applyAlignment="1">
      <alignment horizontal="left"/>
    </xf>
    <xf numFmtId="0" fontId="2" fillId="0" borderId="14"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2" fillId="0" borderId="0" xfId="0" applyNumberFormat="1" applyFont="1" applyAlignment="1">
      <alignment horizontal="center" vertical="center"/>
    </xf>
    <xf numFmtId="0" fontId="2" fillId="0" borderId="18" xfId="0" applyFont="1" applyBorder="1" applyAlignment="1">
      <alignment horizontal="center" vertical="center" wrapText="1"/>
    </xf>
    <xf numFmtId="0" fontId="0" fillId="0" borderId="18" xfId="0" applyBorder="1" applyAlignment="1" applyProtection="1">
      <alignment horizontal="center"/>
      <protection locked="0"/>
    </xf>
    <xf numFmtId="2" fontId="0" fillId="6" borderId="3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3" xfId="0" applyFont="1" applyFill="1" applyBorder="1" applyAlignment="1">
      <alignment horizontal="center" vertical="center"/>
    </xf>
    <xf numFmtId="0" fontId="6" fillId="0" borderId="2" xfId="3" applyFill="1" applyBorder="1" applyAlignment="1" applyProtection="1">
      <alignment horizontal="center" vertical="center"/>
    </xf>
    <xf numFmtId="0" fontId="6" fillId="0" borderId="25" xfId="3" applyFill="1" applyBorder="1" applyAlignment="1">
      <alignment horizontal="center"/>
    </xf>
    <xf numFmtId="0" fontId="6" fillId="0" borderId="26" xfId="3" applyFill="1" applyBorder="1" applyAlignment="1">
      <alignment horizontal="center"/>
    </xf>
    <xf numFmtId="0" fontId="2" fillId="3" borderId="59" xfId="0" applyFont="1" applyFill="1" applyBorder="1" applyAlignment="1">
      <alignment horizontal="center" vertical="center"/>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0" fontId="2" fillId="0" borderId="0" xfId="0" applyFont="1" applyAlignment="1">
      <alignment horizontal="center"/>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0" fillId="0" borderId="10" xfId="0" applyBorder="1" applyAlignment="1" applyProtection="1">
      <alignment horizontal="center"/>
      <protection locked="0"/>
    </xf>
    <xf numFmtId="0" fontId="0" fillId="0" borderId="4" xfId="0" applyBorder="1" applyAlignment="1" applyProtection="1">
      <alignment horizontal="center"/>
      <protection locked="0"/>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0" fontId="7" fillId="0" borderId="43"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6" xfId="0" applyFont="1" applyBorder="1" applyAlignment="1">
      <alignment horizontal="center" vertical="center" wrapText="1"/>
    </xf>
    <xf numFmtId="2" fontId="0" fillId="0" borderId="2" xfId="0" applyNumberFormat="1" applyBorder="1" applyAlignment="1" applyProtection="1">
      <alignment horizontal="right" wrapText="1"/>
      <protection locked="0"/>
    </xf>
    <xf numFmtId="2" fontId="0" fillId="0" borderId="3" xfId="0" applyNumberFormat="1" applyBorder="1" applyAlignment="1" applyProtection="1">
      <alignment horizontal="right" wrapText="1"/>
      <protection locked="0"/>
    </xf>
    <xf numFmtId="2" fontId="0" fillId="0" borderId="21" xfId="0" applyNumberFormat="1" applyBorder="1" applyAlignment="1" applyProtection="1">
      <alignment horizontal="right" wrapText="1"/>
      <protection locked="0"/>
    </xf>
    <xf numFmtId="0" fontId="2" fillId="7" borderId="0" xfId="0" applyFont="1" applyFill="1" applyAlignment="1">
      <alignment horizontal="center" vertical="center"/>
    </xf>
    <xf numFmtId="2" fontId="0" fillId="0" borderId="46" xfId="0" applyNumberFormat="1" applyBorder="1" applyAlignment="1" applyProtection="1">
      <alignment horizontal="right" wrapText="1"/>
      <protection locked="0"/>
    </xf>
    <xf numFmtId="2" fontId="0" fillId="0" borderId="5" xfId="0" applyNumberFormat="1" applyBorder="1" applyAlignment="1" applyProtection="1">
      <alignment horizontal="right" wrapText="1"/>
      <protection locked="0"/>
    </xf>
    <xf numFmtId="2" fontId="0" fillId="0" borderId="47" xfId="0" applyNumberFormat="1" applyBorder="1" applyAlignment="1" applyProtection="1">
      <alignment horizontal="right" wrapText="1"/>
      <protection locked="0"/>
    </xf>
    <xf numFmtId="0" fontId="6" fillId="0" borderId="5" xfId="3" applyFill="1" applyBorder="1" applyAlignment="1" applyProtection="1">
      <alignment horizontal="center" vertical="center" wrapText="1"/>
    </xf>
    <xf numFmtId="0" fontId="6" fillId="0" borderId="47" xfId="3" applyFill="1" applyBorder="1" applyAlignment="1" applyProtection="1">
      <alignment horizontal="center" vertical="center" wrapText="1"/>
    </xf>
    <xf numFmtId="0" fontId="7" fillId="0" borderId="4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7" xfId="0" applyFont="1" applyBorder="1" applyAlignment="1">
      <alignment horizontal="center" vertical="center" wrapText="1"/>
    </xf>
    <xf numFmtId="2" fontId="0" fillId="13" borderId="43" xfId="0" applyNumberFormat="1" applyFill="1" applyBorder="1" applyAlignment="1">
      <alignment horizontal="right" wrapText="1"/>
    </xf>
    <xf numFmtId="2" fontId="0" fillId="13" borderId="41" xfId="0" applyNumberFormat="1" applyFill="1" applyBorder="1" applyAlignment="1">
      <alignment horizontal="right" wrapText="1"/>
    </xf>
    <xf numFmtId="2" fontId="0" fillId="13" borderId="56" xfId="0" applyNumberFormat="1" applyFill="1" applyBorder="1" applyAlignment="1">
      <alignment horizontal="right" wrapText="1"/>
    </xf>
    <xf numFmtId="2" fontId="0" fillId="13" borderId="37" xfId="0" applyNumberFormat="1" applyFill="1" applyBorder="1" applyAlignment="1">
      <alignment horizontal="right" wrapText="1"/>
    </xf>
    <xf numFmtId="2" fontId="0" fillId="13" borderId="14" xfId="0" applyNumberFormat="1" applyFill="1" applyBorder="1" applyAlignment="1">
      <alignment horizontal="right" wrapText="1"/>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2" fillId="0" borderId="10" xfId="0" applyFont="1" applyBorder="1" applyAlignment="1">
      <alignment horizontal="center" vertical="center" wrapText="1"/>
    </xf>
    <xf numFmtId="0" fontId="2"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10" fillId="19" borderId="10" xfId="3" applyFont="1" applyFill="1" applyBorder="1" applyAlignment="1" applyProtection="1">
      <alignment horizontal="center" vertical="center" wrapText="1"/>
    </xf>
    <xf numFmtId="0" fontId="38" fillId="19" borderId="4" xfId="3" applyFont="1" applyFill="1" applyBorder="1" applyAlignment="1" applyProtection="1">
      <alignment horizontal="center" vertical="center" wrapText="1"/>
    </xf>
    <xf numFmtId="2" fontId="9" fillId="6" borderId="2"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7" xfId="0" applyNumberFormat="1" applyFill="1" applyBorder="1" applyAlignment="1">
      <alignment horizontal="right" vertical="center"/>
    </xf>
    <xf numFmtId="10" fontId="0" fillId="13" borderId="36" xfId="0" applyNumberFormat="1" applyFill="1" applyBorder="1" applyAlignment="1">
      <alignment horizontal="right"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2" fontId="0" fillId="13" borderId="20" xfId="0" applyNumberFormat="1" applyFill="1" applyBorder="1" applyAlignment="1">
      <alignment horizontal="right"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0" fontId="0" fillId="0" borderId="48"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0" fontId="9" fillId="8" borderId="1" xfId="0" applyFont="1" applyFill="1" applyBorder="1" applyAlignment="1">
      <alignment horizontal="center" vertical="center" wrapText="1"/>
    </xf>
    <xf numFmtId="0" fontId="9"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2" fillId="7" borderId="25" xfId="0" applyFont="1" applyFill="1" applyBorder="1" applyAlignment="1">
      <alignment horizontal="center" vertical="center"/>
    </xf>
    <xf numFmtId="0" fontId="6" fillId="0" borderId="40" xfId="3" applyFill="1" applyBorder="1" applyAlignment="1" applyProtection="1">
      <alignment horizontal="center" vertical="center" wrapText="1"/>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2" fillId="4" borderId="7" xfId="0" applyFont="1" applyFill="1" applyBorder="1" applyAlignment="1">
      <alignment horizontal="center" wrapText="1"/>
    </xf>
    <xf numFmtId="0" fontId="2" fillId="4" borderId="8" xfId="0" applyFont="1" applyFill="1" applyBorder="1" applyAlignment="1">
      <alignment horizontal="center" wrapText="1"/>
    </xf>
    <xf numFmtId="0" fontId="2" fillId="4" borderId="9" xfId="0" applyFont="1" applyFill="1" applyBorder="1" applyAlignment="1">
      <alignment horizontal="center" wrapText="1"/>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10"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21" xfId="0" applyFont="1" applyFill="1" applyBorder="1" applyAlignment="1">
      <alignment horizontal="center" vertical="center" wrapText="1"/>
    </xf>
    <xf numFmtId="2" fontId="0" fillId="13" borderId="45" xfId="0" applyNumberFormat="1" applyFill="1" applyBorder="1" applyAlignment="1">
      <alignment horizontal="right" wrapText="1"/>
    </xf>
    <xf numFmtId="2" fontId="0" fillId="13" borderId="22" xfId="0" applyNumberFormat="1" applyFill="1" applyBorder="1" applyAlignment="1">
      <alignment horizontal="right" wrapText="1"/>
    </xf>
    <xf numFmtId="2" fontId="0" fillId="13" borderId="23"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0" borderId="36" xfId="0" applyBorder="1" applyAlignment="1" applyProtection="1">
      <alignment horizontal="left" vertical="top" wrapText="1"/>
      <protection locked="0"/>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6" fillId="0" borderId="5" xfId="3" applyFill="1" applyBorder="1" applyAlignment="1">
      <alignment horizontal="center" vertical="center" wrapText="1"/>
    </xf>
    <xf numFmtId="0" fontId="6" fillId="0" borderId="0" xfId="3" applyFill="1" applyBorder="1" applyAlignment="1">
      <alignment horizontal="center" vertical="center" wrapText="1"/>
    </xf>
    <xf numFmtId="0" fontId="6" fillId="0" borderId="41" xfId="3" applyFill="1" applyBorder="1" applyAlignment="1">
      <alignment horizontal="center" vertical="center" wrapText="1"/>
    </xf>
    <xf numFmtId="0" fontId="6" fillId="0" borderId="51" xfId="3" applyFill="1" applyBorder="1" applyAlignment="1">
      <alignment horizontal="center" vertical="center" wrapText="1"/>
    </xf>
    <xf numFmtId="0" fontId="6" fillId="0" borderId="85" xfId="3" applyFill="1" applyBorder="1" applyAlignment="1">
      <alignment horizontal="center" vertical="center" wrapText="1"/>
    </xf>
    <xf numFmtId="0" fontId="6" fillId="0" borderId="44" xfId="3" applyFill="1" applyBorder="1" applyAlignment="1">
      <alignment horizontal="center"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4" fillId="19" borderId="18" xfId="0" applyFont="1" applyFill="1" applyBorder="1" applyAlignment="1">
      <alignment horizontal="left" vertical="center" wrapText="1"/>
    </xf>
    <xf numFmtId="0" fontId="4" fillId="19" borderId="1" xfId="0" applyFont="1"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7" borderId="0" xfId="0" applyFont="1" applyFill="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6" fillId="0" borderId="52" xfId="3" applyFill="1" applyBorder="1" applyAlignment="1">
      <alignment horizontal="center" vertical="center"/>
    </xf>
    <xf numFmtId="0" fontId="6" fillId="0" borderId="5" xfId="3" applyFill="1" applyBorder="1" applyAlignment="1">
      <alignment horizontal="center" vertical="center"/>
    </xf>
    <xf numFmtId="0" fontId="6" fillId="0" borderId="47" xfId="3" applyFill="1" applyBorder="1" applyAlignment="1">
      <alignment horizontal="center" vertical="center"/>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2" fillId="4" borderId="29" xfId="0" applyFont="1" applyFill="1" applyBorder="1" applyAlignment="1">
      <alignment horizontal="center"/>
    </xf>
    <xf numFmtId="0" fontId="2" fillId="4" borderId="31" xfId="0" applyFont="1" applyFill="1" applyBorder="1" applyAlignment="1">
      <alignment horizontal="center"/>
    </xf>
    <xf numFmtId="0" fontId="2" fillId="4" borderId="7" xfId="0" applyFont="1" applyFill="1" applyBorder="1" applyAlignment="1">
      <alignment horizontal="center"/>
    </xf>
    <xf numFmtId="0" fontId="2" fillId="4" borderId="8" xfId="0" applyFont="1" applyFill="1" applyBorder="1" applyAlignment="1">
      <alignment horizontal="center"/>
    </xf>
    <xf numFmtId="0" fontId="2" fillId="4" borderId="9" xfId="0" applyFont="1" applyFill="1" applyBorder="1" applyAlignment="1">
      <alignment horizontal="center"/>
    </xf>
    <xf numFmtId="0" fontId="6" fillId="0" borderId="10" xfId="3" applyFill="1" applyBorder="1" applyAlignment="1">
      <alignment horizontal="center" vertical="center"/>
    </xf>
    <xf numFmtId="0" fontId="6" fillId="0" borderId="3" xfId="3" applyFill="1" applyBorder="1" applyAlignment="1">
      <alignment horizontal="center" vertical="center"/>
    </xf>
    <xf numFmtId="0" fontId="6" fillId="0" borderId="21" xfId="3" applyFill="1" applyBorder="1" applyAlignment="1">
      <alignment horizontal="center" vertical="center"/>
    </xf>
    <xf numFmtId="0" fontId="6" fillId="0" borderId="52" xfId="3" applyFill="1" applyBorder="1" applyAlignment="1">
      <alignment horizontal="center" vertical="center" wrapText="1"/>
    </xf>
    <xf numFmtId="0" fontId="6" fillId="0" borderId="47" xfId="3" applyFill="1" applyBorder="1" applyAlignment="1">
      <alignment horizontal="center" vertical="center" wrapText="1"/>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21" xfId="0" applyFont="1" applyBorder="1" applyAlignment="1">
      <alignment horizontal="left" vertical="center"/>
    </xf>
    <xf numFmtId="0" fontId="0" fillId="0" borderId="57" xfId="0" applyBorder="1" applyAlignment="1">
      <alignment horizontal="left" vertical="center" wrapText="1"/>
    </xf>
    <xf numFmtId="0" fontId="4" fillId="7" borderId="80" xfId="0" applyFont="1" applyFill="1" applyBorder="1" applyAlignment="1">
      <alignment horizontal="center"/>
    </xf>
    <xf numFmtId="0" fontId="4" fillId="7" borderId="84" xfId="0" applyFont="1" applyFill="1" applyBorder="1" applyAlignment="1">
      <alignment horizontal="center"/>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49" xfId="0" applyFill="1" applyBorder="1" applyAlignment="1">
      <alignment horizontal="left" vertical="center" wrapText="1"/>
    </xf>
    <xf numFmtId="0" fontId="0" fillId="7" borderId="41" xfId="0" applyFill="1" applyBorder="1" applyAlignment="1">
      <alignment horizontal="left" vertical="center" wrapText="1"/>
    </xf>
    <xf numFmtId="0" fontId="0" fillId="7" borderId="40" xfId="0" applyFill="1" applyBorder="1" applyAlignment="1">
      <alignment horizontal="left" vertical="center" wrapText="1"/>
    </xf>
    <xf numFmtId="0" fontId="0" fillId="7" borderId="12" xfId="0" applyFill="1" applyBorder="1" applyAlignment="1">
      <alignment horizontal="left" vertical="center" wrapText="1"/>
    </xf>
    <xf numFmtId="0" fontId="0" fillId="7" borderId="27" xfId="0" applyFill="1" applyBorder="1" applyAlignment="1">
      <alignment horizontal="left" vertical="center" wrapText="1"/>
    </xf>
    <xf numFmtId="0" fontId="0" fillId="7" borderId="13" xfId="0" applyFill="1" applyBorder="1" applyAlignment="1">
      <alignment horizontal="left" vertical="center" wrapText="1"/>
    </xf>
    <xf numFmtId="0" fontId="32" fillId="7" borderId="0" xfId="0" applyFont="1" applyFill="1" applyAlignment="1">
      <alignment horizontal="left" wrapText="1"/>
    </xf>
    <xf numFmtId="0" fontId="0" fillId="7" borderId="0" xfId="0" applyFill="1"/>
    <xf numFmtId="0" fontId="36" fillId="7" borderId="0" xfId="0" applyFont="1" applyFill="1"/>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22" borderId="28" xfId="0" applyFill="1" applyBorder="1" applyAlignment="1">
      <alignment horizontal="center" vertical="center"/>
    </xf>
    <xf numFmtId="0" fontId="0" fillId="22" borderId="29" xfId="0" applyFill="1" applyBorder="1" applyAlignment="1">
      <alignment horizontal="center" vertical="center"/>
    </xf>
    <xf numFmtId="0" fontId="0" fillId="22" borderId="31" xfId="0" applyFill="1" applyBorder="1" applyAlignment="1">
      <alignment horizontal="center" vertical="center"/>
    </xf>
    <xf numFmtId="0" fontId="0" fillId="22" borderId="45" xfId="0" applyFill="1" applyBorder="1" applyAlignment="1">
      <alignment horizontal="center" vertical="center"/>
    </xf>
    <xf numFmtId="0" fontId="0" fillId="22" borderId="22" xfId="0" applyFill="1" applyBorder="1" applyAlignment="1">
      <alignment horizontal="center" vertical="center"/>
    </xf>
    <xf numFmtId="0" fontId="0" fillId="22" borderId="23" xfId="0" applyFill="1" applyBorder="1" applyAlignment="1">
      <alignment horizontal="center" vertical="center"/>
    </xf>
    <xf numFmtId="0" fontId="0" fillId="22"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49" xfId="3" quotePrefix="1" applyFill="1" applyBorder="1" applyAlignment="1" applyProtection="1">
      <alignment horizontal="left"/>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0" fillId="7" borderId="0" xfId="0" quotePrefix="1" applyFill="1" applyAlignment="1">
      <alignment horizontal="left"/>
    </xf>
    <xf numFmtId="0" fontId="0" fillId="7" borderId="26"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6" fillId="7" borderId="25" xfId="3" quotePrefix="1" applyFill="1" applyBorder="1" applyAlignment="1" applyProtection="1">
      <alignment horizontal="left"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cellXfs>
  <cellStyles count="4">
    <cellStyle name="Auto-Calculated-Cells" xfId="2" xr:uid="{4E8529B9-507C-4B39-B503-553D51545A9E}"/>
    <cellStyle name="Hyperlink" xfId="3" builtinId="8"/>
    <cellStyle name="Normal" xfId="0" builtinId="0"/>
    <cellStyle name="Percent" xfId="1" builtinId="5"/>
  </cellStyles>
  <dxfs count="352">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C000"/>
      <color rgb="FFFFFF99"/>
      <color rgb="FFB5E6A2"/>
      <color rgb="FFE971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2</xdr:col>
      <xdr:colOff>896135</xdr:colOff>
      <xdr:row>8</xdr:row>
      <xdr:rowOff>120650</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40</xdr:row>
      <xdr:rowOff>158162</xdr:rowOff>
    </xdr:from>
    <xdr:to>
      <xdr:col>1</xdr:col>
      <xdr:colOff>627581</xdr:colOff>
      <xdr:row>42</xdr:row>
      <xdr:rowOff>189813</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36</xdr:row>
      <xdr:rowOff>47625</xdr:rowOff>
    </xdr:from>
    <xdr:to>
      <xdr:col>1</xdr:col>
      <xdr:colOff>2421976</xdr:colOff>
      <xdr:row>36</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14</xdr:row>
      <xdr:rowOff>111125</xdr:rowOff>
    </xdr:from>
    <xdr:to>
      <xdr:col>5</xdr:col>
      <xdr:colOff>952500</xdr:colOff>
      <xdr:row>14</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14</xdr:row>
      <xdr:rowOff>3984625</xdr:rowOff>
    </xdr:from>
    <xdr:to>
      <xdr:col>6</xdr:col>
      <xdr:colOff>1238250</xdr:colOff>
      <xdr:row>14</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14</xdr:row>
      <xdr:rowOff>128861</xdr:rowOff>
    </xdr:from>
    <xdr:to>
      <xdr:col>4</xdr:col>
      <xdr:colOff>133685</xdr:colOff>
      <xdr:row>14</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14</xdr:row>
      <xdr:rowOff>3853543</xdr:rowOff>
    </xdr:from>
    <xdr:to>
      <xdr:col>2</xdr:col>
      <xdr:colOff>359229</xdr:colOff>
      <xdr:row>15</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14</xdr:row>
      <xdr:rowOff>4135855</xdr:rowOff>
    </xdr:from>
    <xdr:to>
      <xdr:col>4</xdr:col>
      <xdr:colOff>359802</xdr:colOff>
      <xdr:row>14</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14</xdr:row>
      <xdr:rowOff>1455821</xdr:rowOff>
    </xdr:from>
    <xdr:to>
      <xdr:col>3</xdr:col>
      <xdr:colOff>342566</xdr:colOff>
      <xdr:row>14</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446</xdr:row>
      <xdr:rowOff>1025237</xdr:rowOff>
    </xdr:from>
    <xdr:to>
      <xdr:col>7</xdr:col>
      <xdr:colOff>2628900</xdr:colOff>
      <xdr:row>446</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446</xdr:row>
      <xdr:rowOff>989215</xdr:rowOff>
    </xdr:from>
    <xdr:to>
      <xdr:col>7</xdr:col>
      <xdr:colOff>2724150</xdr:colOff>
      <xdr:row>447</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582</xdr:row>
      <xdr:rowOff>12699</xdr:rowOff>
    </xdr:from>
    <xdr:to>
      <xdr:col>7</xdr:col>
      <xdr:colOff>6200323</xdr:colOff>
      <xdr:row>589</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591</xdr:row>
      <xdr:rowOff>35831</xdr:rowOff>
    </xdr:from>
    <xdr:to>
      <xdr:col>7</xdr:col>
      <xdr:colOff>6192158</xdr:colOff>
      <xdr:row>598</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599</xdr:row>
      <xdr:rowOff>178707</xdr:rowOff>
    </xdr:from>
    <xdr:to>
      <xdr:col>7</xdr:col>
      <xdr:colOff>6213930</xdr:colOff>
      <xdr:row>607</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583</xdr:row>
      <xdr:rowOff>154214</xdr:rowOff>
    </xdr:from>
    <xdr:to>
      <xdr:col>4</xdr:col>
      <xdr:colOff>1841500</xdr:colOff>
      <xdr:row>587</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592</xdr:row>
      <xdr:rowOff>121557</xdr:rowOff>
    </xdr:from>
    <xdr:to>
      <xdr:col>4</xdr:col>
      <xdr:colOff>1863271</xdr:colOff>
      <xdr:row>596</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447</xdr:row>
      <xdr:rowOff>1025237</xdr:rowOff>
    </xdr:from>
    <xdr:to>
      <xdr:col>7</xdr:col>
      <xdr:colOff>2628900</xdr:colOff>
      <xdr:row>447</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447</xdr:row>
      <xdr:rowOff>400049</xdr:rowOff>
    </xdr:from>
    <xdr:to>
      <xdr:col>7</xdr:col>
      <xdr:colOff>895350</xdr:colOff>
      <xdr:row>447</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549</xdr:row>
      <xdr:rowOff>149679</xdr:rowOff>
    </xdr:from>
    <xdr:to>
      <xdr:col>11</xdr:col>
      <xdr:colOff>1802947</xdr:colOff>
      <xdr:row>557</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558</xdr:row>
      <xdr:rowOff>164647</xdr:rowOff>
    </xdr:from>
    <xdr:to>
      <xdr:col>11</xdr:col>
      <xdr:colOff>1857376</xdr:colOff>
      <xdr:row>566</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551</xdr:row>
      <xdr:rowOff>119743</xdr:rowOff>
    </xdr:from>
    <xdr:to>
      <xdr:col>6</xdr:col>
      <xdr:colOff>732064</xdr:colOff>
      <xdr:row>555</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560</xdr:row>
      <xdr:rowOff>69397</xdr:rowOff>
    </xdr:from>
    <xdr:to>
      <xdr:col>6</xdr:col>
      <xdr:colOff>721178</xdr:colOff>
      <xdr:row>564</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549</xdr:row>
      <xdr:rowOff>107495</xdr:rowOff>
    </xdr:from>
    <xdr:to>
      <xdr:col>2</xdr:col>
      <xdr:colOff>3322819</xdr:colOff>
      <xdr:row>557</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201</xdr:row>
      <xdr:rowOff>53068</xdr:rowOff>
    </xdr:from>
    <xdr:to>
      <xdr:col>8</xdr:col>
      <xdr:colOff>213633</xdr:colOff>
      <xdr:row>209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203</xdr:row>
      <xdr:rowOff>56998</xdr:rowOff>
    </xdr:from>
    <xdr:to>
      <xdr:col>3</xdr:col>
      <xdr:colOff>2346959</xdr:colOff>
      <xdr:row>207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213</xdr:row>
      <xdr:rowOff>93556</xdr:rowOff>
    </xdr:from>
    <xdr:to>
      <xdr:col>3</xdr:col>
      <xdr:colOff>2295525</xdr:colOff>
      <xdr:row>217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201</xdr:row>
      <xdr:rowOff>82188</xdr:rowOff>
    </xdr:from>
    <xdr:to>
      <xdr:col>2</xdr:col>
      <xdr:colOff>2752725</xdr:colOff>
      <xdr:row>208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211</xdr:row>
      <xdr:rowOff>60145</xdr:rowOff>
    </xdr:from>
    <xdr:to>
      <xdr:col>2</xdr:col>
      <xdr:colOff>2733674</xdr:colOff>
      <xdr:row>219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5-07-30/vsme-all.xs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guidance-annex-ii/2025-07-30-ec-rec/148" TargetMode="External"/><Relationship Id="rId26" Type="http://schemas.openxmlformats.org/officeDocument/2006/relationships/hyperlink" Target="https://xbrl.efrag.org/e-esrs/2024-12-17-efrag-vsme.xhtml" TargetMode="External"/><Relationship Id="rId39" Type="http://schemas.openxmlformats.org/officeDocument/2006/relationships/hyperlink" Target="https://xbrl.efrag.org/eng/interactive/vsme/vsme-guidance-annex-ii/2025-07-30-ec-rec/13" TargetMode="External"/><Relationship Id="rId21" Type="http://schemas.openxmlformats.org/officeDocument/2006/relationships/hyperlink" Target="https://xbrl.efrag.org/eng/interactive/vsme/vsme-standard-annex-i/2025-07-30-ec-rec/24/d" TargetMode="External"/><Relationship Id="rId34" Type="http://schemas.openxmlformats.org/officeDocument/2006/relationships/hyperlink" Target="https://xbrl.efrag.org/eng/interactive/vsme/vsme-standard-annex-i/2025-07-30-ec-rec/26-28" TargetMode="External"/><Relationship Id="rId42" Type="http://schemas.openxmlformats.org/officeDocument/2006/relationships/hyperlink" Target="https://xbrl.efrag.org/eng/interactive/vsme/vsme-guidance-annex-ii/2025-07-30-ec-rec/149" TargetMode="External"/><Relationship Id="rId47"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guidance-annex-ii/2025-07-30-ec-rec/9-12" TargetMode="External"/><Relationship Id="rId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7/d" TargetMode="External"/><Relationship Id="rId29"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ng/interactive/vsme/vsme-standard-annex-i/2025-07-30-ec-rec/25" TargetMode="External"/><Relationship Id="rId37" Type="http://schemas.openxmlformats.org/officeDocument/2006/relationships/hyperlink" Target="https://xbrl.efrag.org/eng/interactive/vsme/vsme-guidance-annex-ii/2025-07-30-ec-rec/4" TargetMode="External"/><Relationship Id="rId40" Type="http://schemas.openxmlformats.org/officeDocument/2006/relationships/hyperlink" Target="https://xbrl.efrag.org/eng/interactive/vsme/vsme-guidance-annex-ii/2025-07-30-ec-rec/9-12" TargetMode="External"/><Relationship Id="rId45" Type="http://schemas.openxmlformats.org/officeDocument/2006/relationships/hyperlink" Target="https://xbrl.efrag.org/eng/interactive/vsme/vsme-standard-annex-i/2025-07-30-ec-rec/24/e/v" TargetMode="External"/><Relationship Id="rId5" Type="http://schemas.openxmlformats.org/officeDocument/2006/relationships/hyperlink" Target="https://xbrl.efrag.org/eng/interactive/vsme/vsme-standard-annex-i/2025-07-30-ec-rec/24/b"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standard-annex-i/2025-07-30-ec-rec/47/b" TargetMode="External"/><Relationship Id="rId28" Type="http://schemas.openxmlformats.org/officeDocument/2006/relationships/hyperlink" Target="https://xbrl.efrag.org/eng/interactive/vsme/vsme-guidance-annex-ii/2025-07-30-ec-rec/15" TargetMode="External"/><Relationship Id="rId36" Type="http://schemas.openxmlformats.org/officeDocument/2006/relationships/hyperlink" Target="https://xbrl.efrag.org/eng/interactive/vsme/vsme-standard-annex-i/2025-07-30-ec-rec/16" TargetMode="External"/><Relationship Id="rId49" Type="http://schemas.openxmlformats.org/officeDocument/2006/relationships/hyperlink" Target="https://xbrl.efrag.org/eng/interactive/vsme/vsme-guidance-annex-ii/2025-07-30-ec-rec/7-8" TargetMode="External"/><Relationship Id="rId10" Type="http://schemas.openxmlformats.org/officeDocument/2006/relationships/hyperlink" Target="https://xbrl.efrag.org/eng/interactive/vsme/vsme-standard-annex-i/2025-07-30-ec-rec/24/e/vi" TargetMode="External"/><Relationship Id="rId19" Type="http://schemas.openxmlformats.org/officeDocument/2006/relationships/hyperlink" Target="https://xbrl.efrag.org/eng/interactive/vsme/vsme-standard-annex-i/2025-07-30-ec-rec/47/c" TargetMode="External"/><Relationship Id="rId31" Type="http://schemas.openxmlformats.org/officeDocument/2006/relationships/hyperlink" Target="https://xbrl.efrag.org/eng/interactive/vsme/vsme-standard-annex-i/2025-07-30-ec-rec/24/e/ii" TargetMode="External"/><Relationship Id="rId44" Type="http://schemas.openxmlformats.org/officeDocument/2006/relationships/hyperlink" Target="https://xbrl.efrag.org/eng/interactive/vsme/vsme-standard-annex-i/2025-07-30-ec-rec/24/e/v" TargetMode="External"/><Relationship Id="rId52" Type="http://schemas.openxmlformats.org/officeDocument/2006/relationships/drawing" Target="../drawings/drawing2.xml"/><Relationship Id="rId4" Type="http://schemas.openxmlformats.org/officeDocument/2006/relationships/hyperlink" Target="https://xbrl.efrag.org/eng/interactive/vsme/vsme-standard-annex-i/2025-07-30-ec-rec/24/a" TargetMode="External"/><Relationship Id="rId9" Type="http://schemas.openxmlformats.org/officeDocument/2006/relationships/hyperlink" Target="https://xbrl.efrag.org/eng/interactive/vsme/vsme-standard-annex-i/2025-07-30-ec-rec/24/e/v"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24/e/iii" TargetMode="External"/><Relationship Id="rId27" Type="http://schemas.openxmlformats.org/officeDocument/2006/relationships/hyperlink" Target="https://xbrl.efrag.org/eng/interactive/vsme/vsme-standard-annex-i/2025-07-30-ec-rec/49" TargetMode="External"/><Relationship Id="rId30" Type="http://schemas.openxmlformats.org/officeDocument/2006/relationships/hyperlink" Target="https://xbrl.efrag.org/eng/interactive/vsme/vsme-standard-annex-i/2025-07-30-ec-rec/24/e/i" TargetMode="External"/><Relationship Id="rId35" Type="http://schemas.openxmlformats.org/officeDocument/2006/relationships/hyperlink" Target="https://xbrl.efrag.org/eng/interactive/vsme/vsme-standard-annex-i/2025-07-30-ec-rec/48" TargetMode="External"/><Relationship Id="rId43" Type="http://schemas.openxmlformats.org/officeDocument/2006/relationships/hyperlink" Target="https://xbrl.efrag.org/eng/interactive/vsme/vsme-standard-annex-i/2025-07-30-ec-rec/10" TargetMode="External"/><Relationship Id="rId48" Type="http://schemas.openxmlformats.org/officeDocument/2006/relationships/hyperlink" Target="https://xbrl.efrag.org/eng/interactive/vsme/vsme-guidance-annex-ii/2025-07-30-ec-rec/7-8" TargetMode="External"/><Relationship Id="rId8" Type="http://schemas.openxmlformats.org/officeDocument/2006/relationships/hyperlink" Target="https://xbrl.efrag.org/eng/interactive/vsme/vsme-standard-annex-i/2025-07-30-ec-rec/24/e/iv" TargetMode="External"/><Relationship Id="rId51" Type="http://schemas.openxmlformats.org/officeDocument/2006/relationships/printerSettings" Target="../printerSettings/printerSettings2.bin"/><Relationship Id="rId3" Type="http://schemas.openxmlformats.org/officeDocument/2006/relationships/hyperlink" Target="https://xbrl.efrag.org/eng/interactive/vsme/vsme-guidance-annex-ii/2025-07-30-ec-rec/7-8"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ng/interactive/vsme/vsme-standard-annex-i/2025-07-30-ec-rec/24/e/vii" TargetMode="External"/><Relationship Id="rId38" Type="http://schemas.openxmlformats.org/officeDocument/2006/relationships/hyperlink" Target="https://xbrl.efrag.org/eng/interactive/vsme/vsme-guidance-annex-ii/2025-07-30-ec-rec/5-6" TargetMode="External"/><Relationship Id="rId46" Type="http://schemas.openxmlformats.org/officeDocument/2006/relationships/hyperlink" Target="https://xbrl.efrag.org/e-esrs/2024-12-17-efrag-vsme.xhtml" TargetMode="External"/><Relationship Id="rId20" Type="http://schemas.openxmlformats.org/officeDocument/2006/relationships/hyperlink" Target="https://xbrl.efrag.org/eng/interactive/vsme/vsme-standard-annex-i/2025-07-30-ec-rec/47/a" TargetMode="External"/><Relationship Id="rId41" Type="http://schemas.openxmlformats.org/officeDocument/2006/relationships/hyperlink" Target="https://xbrl.efrag.org/eng/interactive/vsme/vsme-guidance-annex-ii/2025-07-30-ec-rec/14-1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24/c"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standard-annex-i/2025-07-30-ec-rec/57/d" TargetMode="External"/><Relationship Id="rId42" Type="http://schemas.openxmlformats.org/officeDocument/2006/relationships/hyperlink" Target="https://xbrl.efrag.org/eng/interactive/vsme/vsme-standard-annex-i/2025-07-30-ec-rec/29" TargetMode="External"/><Relationship Id="rId47" Type="http://schemas.openxmlformats.org/officeDocument/2006/relationships/hyperlink" Target="https://xbrl.efrag.org/eng/interactive/vsme/vsme-standard-annex-i/2025-07-30-ec-rec/56" TargetMode="External"/><Relationship Id="rId63" Type="http://schemas.openxmlformats.org/officeDocument/2006/relationships/hyperlink" Target="https://xbrl.efrag.org/eng/interactive/vsme/vsme-guidance-annex-ii/2025-07-30-ec-rec/150-151" TargetMode="External"/><Relationship Id="rId68" Type="http://schemas.openxmlformats.org/officeDocument/2006/relationships/hyperlink" Target="https://xbrl.efrag.org/eng/interactive/vsme/vsme-guidance-annex-ii/2025-07-30-ec-rec/74-76" TargetMode="External"/><Relationship Id="rId84" Type="http://schemas.openxmlformats.org/officeDocument/2006/relationships/printerSettings" Target="../printerSettings/printerSettings3.bin"/><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hyperlink" Target="https://xbrl.efrag.org/e-esrs/2024-12-17-efrag-vsme.xhtml" TargetMode="External"/><Relationship Id="rId53" Type="http://schemas.openxmlformats.org/officeDocument/2006/relationships/hyperlink" Target="https://xbrl.efrag.org/eng/interactive/vsme/vsme-standard-annex-i/2025-07-30-ec-rec/37" TargetMode="External"/><Relationship Id="rId58" Type="http://schemas.openxmlformats.org/officeDocument/2006/relationships/hyperlink" Target="https://xbrl.efrag.org/eng/interactive/vsme/vsme-guidance-annex-ii/2025-07-30-ec-rec/18-25" TargetMode="External"/><Relationship Id="rId74" Type="http://schemas.openxmlformats.org/officeDocument/2006/relationships/hyperlink" Target="https://xbrl.efrag.org/eng/interactive/vsme/vsme-standard-annex-i/2025-07-30-ec-rec/55" TargetMode="External"/><Relationship Id="rId79" Type="http://schemas.openxmlformats.org/officeDocument/2006/relationships/hyperlink" Target="https://xbrl.efrag.org/eng/interactive/vsme/vsme-guidance-annex-ii/2025-07-30-ec-rec/160-163" TargetMode="External"/><Relationship Id="rId5" Type="http://schemas.openxmlformats.org/officeDocument/2006/relationships/hyperlink" Target="https://xbrl.efrag.org/e-esrs/2024-12-17-efrag-vsme.xhtml" TargetMode="External"/><Relationship Id="rId19" Type="http://schemas.openxmlformats.org/officeDocument/2006/relationships/hyperlink" Target="https://xbrl.efrag.org/eng/interactive/vsme/vsme-standard-annex-i/2025-07-30-ec-rec/57/b"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58"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43" Type="http://schemas.openxmlformats.org/officeDocument/2006/relationships/hyperlink" Target="https://xbrl.efrag.org/eng/interactive/vsme/vsme-standard-annex-i/2025-07-30-ec-rec/30" TargetMode="External"/><Relationship Id="rId48" Type="http://schemas.openxmlformats.org/officeDocument/2006/relationships/hyperlink" Target="https://xbrl.efrag.org/eng/interactive/vsme/vsme-standard-annex-i/2025-07-30-ec-rec/31" TargetMode="External"/><Relationship Id="rId56" Type="http://schemas.openxmlformats.org/officeDocument/2006/relationships/hyperlink" Target="https://xbrl.efrag.org/eng/interactive/vsme/vsme-standard-annex-i/2025-07-30-ec-rec/10" TargetMode="External"/><Relationship Id="rId64" Type="http://schemas.openxmlformats.org/officeDocument/2006/relationships/hyperlink" Target="https://xbrl.efrag.org/eng/interactive/vsme/vsme-guidance-annex-ii/2025-07-30-ec-rec/159" TargetMode="External"/><Relationship Id="rId69" Type="http://schemas.openxmlformats.org/officeDocument/2006/relationships/hyperlink" Target="https://xbrl.efrag.org/eng/interactive/vsme/vsme-guidance-annex-ii/2025-07-30-ec-rec/77-90" TargetMode="External"/><Relationship Id="rId77" Type="http://schemas.openxmlformats.org/officeDocument/2006/relationships/hyperlink" Target="https://xbrl.efrag.org/eng/interactive/vsme/vsme-guidance-annex-ii/2025-07-30-ec-rec/164-166"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34" TargetMode="External"/><Relationship Id="rId72" Type="http://schemas.openxmlformats.org/officeDocument/2006/relationships/hyperlink" Target="https://xbrl.efrag.org/eng/interactive/vsme/vsme-guidance-annex-ii/2025-07-30-ec-rec/108-109" TargetMode="External"/><Relationship Id="rId80" Type="http://schemas.openxmlformats.org/officeDocument/2006/relationships/hyperlink" Target="https://xbrl.efrag.org/eng/interactive/vsme/vsme-guidance-annex-ii/2025-07-30-ec-rec/164-166" TargetMode="External"/><Relationship Id="rId85" Type="http://schemas.openxmlformats.org/officeDocument/2006/relationships/drawing" Target="../drawings/drawing3.xm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hyperlink" Target="https://xbrl.efrag.org/e-esrs/2024-12-17-efrag-vsme.xhtml" TargetMode="External"/><Relationship Id="rId46" Type="http://schemas.openxmlformats.org/officeDocument/2006/relationships/hyperlink" Target="https://xbrl.efrag.org/eng/interactive/vsme/vsme-standard-annex-i/2025-07-30-ec-rec/54/e" TargetMode="External"/><Relationship Id="rId59" Type="http://schemas.openxmlformats.org/officeDocument/2006/relationships/hyperlink" Target="https://xbrl.efrag.org/eng/interactive/vsme/vsme-guidance-annex-ii/2025-07-30-ec-rec/26-45" TargetMode="External"/><Relationship Id="rId67" Type="http://schemas.openxmlformats.org/officeDocument/2006/relationships/hyperlink" Target="https://xbrl.efrag.org/eng/interactive/vsme/vsme-guidance-annex-ii/2025-07-30-ec-rec/70-73" TargetMode="External"/><Relationship Id="rId20" Type="http://schemas.openxmlformats.org/officeDocument/2006/relationships/hyperlink" Target="https://xbrl.efrag.org/eng/interactive/vsme/vsme-standard-annex-i/2025-07-30-ec-rec/57/c" TargetMode="External"/><Relationship Id="rId41" Type="http://schemas.openxmlformats.org/officeDocument/2006/relationships/hyperlink" Target="https://xbrl.efrag.org/eng/interactive/vsme/vsme-standard-annex-i/2025-07-30-ec-rec/36" TargetMode="External"/><Relationship Id="rId54" Type="http://schemas.openxmlformats.org/officeDocument/2006/relationships/hyperlink" Target="https://xbrl.efrag.org/eng/interactive/vsme/vsme-standard-annex-i/2025-07-30-ec-rec/38/a-b" TargetMode="External"/><Relationship Id="rId62" Type="http://schemas.openxmlformats.org/officeDocument/2006/relationships/hyperlink" Target="https://xbrl.efrag.org/eng/interactive/vsme/vsme-guidance-annex-ii/2025-07-30-ec-rec/152-158" TargetMode="External"/><Relationship Id="rId70" Type="http://schemas.openxmlformats.org/officeDocument/2006/relationships/hyperlink" Target="https://xbrl.efrag.org/eng/interactive/vsme/vsme-guidance-annex-ii/2025-07-30-ec-rec/94" TargetMode="External"/><Relationship Id="rId75" Type="http://schemas.openxmlformats.org/officeDocument/2006/relationships/hyperlink" Target="https://xbrl.efrag.org/e-esrs/2024-12-17-efrag-vsme.xhtml" TargetMode="External"/><Relationship Id="rId83" Type="http://schemas.openxmlformats.org/officeDocument/2006/relationships/hyperlink" Target="https://xbrl.efrag.org/eng/interactive/vsme/vsme-guidance-annex-ii/2025-07-30-ec-rec/77-93"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54/a"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guidance-annex-ii/2025-07-30-ec-rec/164-166"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ng/interactive/vsme/vsme-standard-annex-i/2025-07-30-ec-rec/54/d" TargetMode="External"/><Relationship Id="rId49" Type="http://schemas.openxmlformats.org/officeDocument/2006/relationships/hyperlink" Target="https://xbrl.efrag.org/eng/interactive/vsme/vsme-standard-annex-i/2025-07-30-ec-rec/32" TargetMode="External"/><Relationship Id="rId57" Type="http://schemas.openxmlformats.org/officeDocument/2006/relationships/hyperlink" Target="https://xbrl.efrag.org/eng/interactive/vsme/vsme-guidance-annex-ii/2025-07-30-ec-rec/18-25" TargetMode="External"/><Relationship Id="rId10"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4" Type="http://schemas.openxmlformats.org/officeDocument/2006/relationships/hyperlink" Target="https://xbrl.efrag.org/eng/interactive/vsme/vsme-standard-annex-i/2025-07-30-ec-rec/54/b" TargetMode="External"/><Relationship Id="rId52" Type="http://schemas.openxmlformats.org/officeDocument/2006/relationships/hyperlink" Target="https://xbrl.efrag.org/eng/interactive/vsme/vsme-standard-annex-i/2025-07-30-ec-rec/35" TargetMode="External"/><Relationship Id="rId60" Type="http://schemas.openxmlformats.org/officeDocument/2006/relationships/hyperlink" Target="https://xbrl.efrag.org/eng/interactive/vsme/vsme-guidance-annex-ii/2025-07-30-ec-rec/152-158" TargetMode="External"/><Relationship Id="rId65" Type="http://schemas.openxmlformats.org/officeDocument/2006/relationships/hyperlink" Target="https://knowledgehub.efrag.org/eng/interactive/vsme/vsme-guidance-annex-ii/2025-07-30-ec-rec/160-163" TargetMode="External"/><Relationship Id="rId73" Type="http://schemas.openxmlformats.org/officeDocument/2006/relationships/hyperlink" Target="https://xbrl.efrag.org/eng/interactive/vsme/vsme-standard-annex-i/2025-07-30-ec-rec/55" TargetMode="External"/><Relationship Id="rId78" Type="http://schemas.openxmlformats.org/officeDocument/2006/relationships/hyperlink" Target="https://xbrl.efrag.org/eng/interactive/vsme/vsme-guidance-annex-ii/2025-07-30-ec-rec/160-163" TargetMode="External"/><Relationship Id="rId81" Type="http://schemas.openxmlformats.org/officeDocument/2006/relationships/hyperlink" Target="https://xbrl.efrag.org/eng/interactive/vsme/vsme-guidance-annex-ii/2025-07-30-ec-rec/164-166"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standard-annex-i/2025-07-30-ec-rec/57/a" TargetMode="External"/><Relationship Id="rId39" Type="http://schemas.openxmlformats.org/officeDocument/2006/relationships/hyperlink" Target="https://xbrl.efrag.org/eng/interactive/vsme/vsme-standard-annex-i/2025-07-30-ec-rec/55" TargetMode="External"/><Relationship Id="rId34"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standard-annex-i/2025-07-30-ec-rec/33" TargetMode="External"/><Relationship Id="rId55" Type="http://schemas.openxmlformats.org/officeDocument/2006/relationships/hyperlink" Target="https://xbrl.efrag.org/eng/interactive/vsme/vsme-standard-annex-i/2025-07-30-ec-rec/38/c" TargetMode="External"/><Relationship Id="rId76" Type="http://schemas.openxmlformats.org/officeDocument/2006/relationships/hyperlink" Target="https://xbrl.efrag.org/eng/interactive/vsme/vsme-standard-annex-i/2025-07-30-ec-rec/29"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95-107"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24" Type="http://schemas.openxmlformats.org/officeDocument/2006/relationships/hyperlink" Target="https://xbrl.efrag.org/eng/interactive/vsme/vsme-standard-annex-i/2025-07-30-ec-rec/54/d" TargetMode="External"/><Relationship Id="rId40" Type="http://schemas.openxmlformats.org/officeDocument/2006/relationships/hyperlink" Target="https://xbrl.efrag.org/eng/interactive/vsme/vsme-guidance-annex-ii/2025-07-30-ec-rec/160-163" TargetMode="External"/><Relationship Id="rId45" Type="http://schemas.openxmlformats.org/officeDocument/2006/relationships/hyperlink" Target="https://xbrl.efrag.org/eng/interactive/vsme/vsme-standard-annex-i/2025-07-30-ec-rec/50-53" TargetMode="External"/><Relationship Id="rId66" Type="http://schemas.openxmlformats.org/officeDocument/2006/relationships/hyperlink" Target="https://xbrl.efrag.org/eng/interactive/vsme/vsme-guidance-annex-ii/2025-07-30-ec-rec/46-69" TargetMode="External"/><Relationship Id="rId61" Type="http://schemas.openxmlformats.org/officeDocument/2006/relationships/hyperlink" Target="https://xbrl.efrag.org/eng/interactive/vsme/vsme-guidance-annex-ii/2025-07-30-ec-rec/152-158" TargetMode="External"/><Relationship Id="rId82" Type="http://schemas.openxmlformats.org/officeDocument/2006/relationships/hyperlink" Target="https://xbrl.efrag.org/eng/interactive/vsme/vsme-guidance-annex-ii/2025-07-30-ec-rec/164-166"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xbrl.efrag.org/eng/interactive/vsme/vsme-guidance-annex-ii/2025-07-30-ec-rec/174" TargetMode="External"/><Relationship Id="rId21" Type="http://schemas.openxmlformats.org/officeDocument/2006/relationships/hyperlink" Target="https://xbrl.efrag.org/eng/interactive/vsme/vsme-standard-annex-i/2025-07-30-ec-rec/61/a" TargetMode="External"/><Relationship Id="rId42" Type="http://schemas.openxmlformats.org/officeDocument/2006/relationships/hyperlink" Target="https://xbrl.efrag.org/eng/interactive/vsme/vsme-guidance-annex-ii/2025-07-30-ec-rec/110-117" TargetMode="External"/><Relationship Id="rId47" Type="http://schemas.openxmlformats.org/officeDocument/2006/relationships/hyperlink" Target="https://xbrl.efrag.org/eng/interactive/vsme/vsme-standard-annex-i/2025-07-30-ec-rec/41/a" TargetMode="External"/><Relationship Id="rId63" Type="http://schemas.openxmlformats.org/officeDocument/2006/relationships/hyperlink" Target="https://xbrl.efrag.org/eng/interactive/vsme/vsme-standard-annex-i/2025-07-30-ec-rec/62/a" TargetMode="External"/><Relationship Id="rId68" Type="http://schemas.openxmlformats.org/officeDocument/2006/relationships/hyperlink" Target="https://xbrl.efrag.org/eng/interactive/vsme/vsme-guidance-annex-ii/2025-07-30-ec-rec/173" TargetMode="External"/><Relationship Id="rId84" Type="http://schemas.openxmlformats.org/officeDocument/2006/relationships/hyperlink" Target="https://xbrl.efrag.org/eng/interactive/vsme/vsme-guidance-annex-ii/2025-07-30-ec-rec/174" TargetMode="External"/><Relationship Id="rId89" Type="http://schemas.openxmlformats.org/officeDocument/2006/relationships/hyperlink" Target="https://xbrl.efrag.org/eng/interactive/vsme/vsme-guidance-annex-ii/2025-07-30-ec-rec/119-12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ng/interactive/vsme/vsme-standard-annex-i/2025-07-30-ec-rec/42/a" TargetMode="External"/><Relationship Id="rId32" Type="http://schemas.openxmlformats.org/officeDocument/2006/relationships/hyperlink" Target="https://xbrl.efrag.org/eng/interactive/vsme/vsme-standard-annex-i/2025-07-30-ec-rec/39/b" TargetMode="External"/><Relationship Id="rId37" Type="http://schemas.openxmlformats.org/officeDocument/2006/relationships/hyperlink" Target="https://xbrl.efrag.org/eng/interactive/vsme/vsme-standard-annex-i/2025-07-30-ec-rec/42/c" TargetMode="External"/><Relationship Id="rId53" Type="http://schemas.openxmlformats.org/officeDocument/2006/relationships/hyperlink" Target="https://xbrl.efrag.org/eng/interactive/vsme/vsme-standard-annex-i/2025-07-30-ec-rec/59" TargetMode="External"/><Relationship Id="rId58" Type="http://schemas.openxmlformats.org/officeDocument/2006/relationships/hyperlink" Target="https://xbrl.efrag.org/eng/interactive/vsme/vsme-standard-annex-i/2025-07-30-ec-rec/61/b" TargetMode="External"/><Relationship Id="rId74" Type="http://schemas.openxmlformats.org/officeDocument/2006/relationships/hyperlink" Target="https://xbrl.efrag.org/eng/interactive/vsme/vsme-guidance-annex-ii/2025-07-30-ec-rec/173" TargetMode="External"/><Relationship Id="rId79" Type="http://schemas.openxmlformats.org/officeDocument/2006/relationships/hyperlink" Target="https://xbrl.efrag.org/eng/interactive/vsme/vsme-guidance-annex-ii/2025-07-30-ec-rec/174" TargetMode="External"/><Relationship Id="rId5" Type="http://schemas.openxmlformats.org/officeDocument/2006/relationships/hyperlink" Target="https://xbrl.efrag.org/e-esrs/2024-12-17-efrag-vsme.xhtml" TargetMode="External"/><Relationship Id="rId90" Type="http://schemas.openxmlformats.org/officeDocument/2006/relationships/hyperlink" Target="https://xbrl.efrag.org/eng/interactive/vsme/vsme-guidance-annex-ii/2025-07-30-ec-rec/129-136" TargetMode="External"/><Relationship Id="rId95" Type="http://schemas.openxmlformats.org/officeDocument/2006/relationships/drawing" Target="../drawings/drawing4.xml"/><Relationship Id="rId22" Type="http://schemas.openxmlformats.org/officeDocument/2006/relationships/hyperlink" Target="https://xbrl.efrag.org/eng/interactive/vsme/vsme-standard-annex-i/2025-07-30-ec-rec/61/b" TargetMode="External"/><Relationship Id="rId27" Type="http://schemas.openxmlformats.org/officeDocument/2006/relationships/hyperlink" Target="https://xbrl.efrag.org/eng/interactive/vsme/vsme-standard-annex-i/2025-07-30-ec-rec/62/a" TargetMode="External"/><Relationship Id="rId43" Type="http://schemas.openxmlformats.org/officeDocument/2006/relationships/hyperlink" Target="https://xbrl.efrag.org/eng/interactive/vsme/vsme-guidance-annex-ii/2025-07-30-ec-rec/110-117" TargetMode="External"/><Relationship Id="rId48" Type="http://schemas.openxmlformats.org/officeDocument/2006/relationships/hyperlink" Target="https://xbrl.efrag.org/eng/interactive/vsme/vsme-standard-annex-i/2025-07-30-ec-rec/41/a" TargetMode="External"/><Relationship Id="rId64" Type="http://schemas.openxmlformats.org/officeDocument/2006/relationships/hyperlink" Target="https://xbrl.efrag.org/eng/interactive/vsme/vsme-standard-annex-i/2025-07-30-ec-rec/62/a" TargetMode="External"/><Relationship Id="rId69" Type="http://schemas.openxmlformats.org/officeDocument/2006/relationships/hyperlink" Target="https://xbrl.efrag.org/eng/interactive/vsme/vsme-guidance-annex-ii/2025-07-30-ec-rec/173"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42/b" TargetMode="External"/><Relationship Id="rId72" Type="http://schemas.openxmlformats.org/officeDocument/2006/relationships/hyperlink" Target="https://xbrl.efrag.org/eng/interactive/vsme/vsme-guidance-annex-ii/2025-07-30-ec-rec/173" TargetMode="External"/><Relationship Id="rId80" Type="http://schemas.openxmlformats.org/officeDocument/2006/relationships/hyperlink" Target="https://xbrl.efrag.org/eng/interactive/vsme/vsme-guidance-annex-ii/2025-07-30-ec-rec/174" TargetMode="External"/><Relationship Id="rId85" Type="http://schemas.openxmlformats.org/officeDocument/2006/relationships/hyperlink" Target="https://xbrl.efrag.org/eng/interactive/vsme/vsme-guidance-annex-ii/2025-07-30-ec-rec/174" TargetMode="External"/><Relationship Id="rId93" Type="http://schemas.openxmlformats.org/officeDocument/2006/relationships/hyperlink" Target="https://xbrl.efrag.org/eng/interactive/vsme/vsme-guidance-annex-ii/2025-07-30-ec-rec/167-169" TargetMode="Externa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ng/interactive/vsme/vsme-standard-annex-i/2025-07-30-ec-rec/59" TargetMode="External"/><Relationship Id="rId25" Type="http://schemas.openxmlformats.org/officeDocument/2006/relationships/hyperlink" Target="https://xbrl.efrag.org/eng/interactive/vsme/vsme-standard-annex-i/2025-07-30-ec-rec/62/c" TargetMode="External"/><Relationship Id="rId33" Type="http://schemas.openxmlformats.org/officeDocument/2006/relationships/hyperlink" Target="https://xbrl.efrag.org/eng/interactive/vsme/vsme-standard-annex-i/2025-07-30-ec-rec/39/c" TargetMode="External"/><Relationship Id="rId38" Type="http://schemas.openxmlformats.org/officeDocument/2006/relationships/hyperlink" Target="https://xbrl.efrag.org/eng/interactive/vsme/vsme-standard-annex-i/2025-07-30-ec-rec/42/d" TargetMode="External"/><Relationship Id="rId46" Type="http://schemas.openxmlformats.org/officeDocument/2006/relationships/hyperlink" Target="https://xbrl.efrag.org/eng/interactive/vsme/vsme-guidance-annex-ii/2025-07-30-ec-rec/137-140" TargetMode="External"/><Relationship Id="rId59" Type="http://schemas.openxmlformats.org/officeDocument/2006/relationships/hyperlink" Target="https://xbrl.efrag.org/eng/interactive/vsme/vsme-standard-annex-i/2025-07-30-ec-rec/61/b" TargetMode="External"/><Relationship Id="rId67" Type="http://schemas.openxmlformats.org/officeDocument/2006/relationships/hyperlink" Target="https://xbrl.efrag.org/eng/interactive/vsme/vsme-guidance-annex-ii/2025-07-30-ec-rec/119-126" TargetMode="External"/><Relationship Id="rId20" Type="http://schemas.openxmlformats.org/officeDocument/2006/relationships/hyperlink" Target="https://xbrl.efrag.org/eng/interactive/vsme/vsme-guidance-annex-ii/2025-07-30-ec-rec/170-172" TargetMode="External"/><Relationship Id="rId41" Type="http://schemas.openxmlformats.org/officeDocument/2006/relationships/hyperlink" Target="https://xbrl.efrag.org/eng/interactive/vsme/vsme-standard-annex-i/2025-07-30-ec-rec/10" TargetMode="External"/><Relationship Id="rId54" Type="http://schemas.openxmlformats.org/officeDocument/2006/relationships/hyperlink" Target="https://xbrl.efrag.org/eng/interactive/vsme/vsme-standard-annex-i/2025-07-30-ec-rec/61/b" TargetMode="External"/><Relationship Id="rId62" Type="http://schemas.openxmlformats.org/officeDocument/2006/relationships/hyperlink" Target="https://xbrl.efrag.org/eng/interactive/vsme/vsme-standard-annex-i/2025-07-30-ec-rec/62/a" TargetMode="External"/><Relationship Id="rId70" Type="http://schemas.openxmlformats.org/officeDocument/2006/relationships/hyperlink" Target="https://xbrl.efrag.org/eng/interactive/vsme/vsme-guidance-annex-ii/2025-07-30-ec-rec/173" TargetMode="External"/><Relationship Id="rId75" Type="http://schemas.openxmlformats.org/officeDocument/2006/relationships/hyperlink" Target="https://xbrl.efrag.org/eng/interactive/vsme/vsme-guidance-annex-ii/2025-07-30-ec-rec/173" TargetMode="External"/><Relationship Id="rId83" Type="http://schemas.openxmlformats.org/officeDocument/2006/relationships/hyperlink" Target="https://xbrl.efrag.org/eng/interactive/vsme/vsme-guidance-annex-ii/2025-07-30-ec-rec/174" TargetMode="External"/><Relationship Id="rId88" Type="http://schemas.openxmlformats.org/officeDocument/2006/relationships/hyperlink" Target="https://xbrl.efrag.org/eng/interactive/vsme/vsme-guidance-annex-ii/2025-07-30-ec-rec/119-126" TargetMode="External"/><Relationship Id="rId91" Type="http://schemas.openxmlformats.org/officeDocument/2006/relationships/hyperlink" Target="https://xbrl.efrag.org/eng/interactive/vsme/vsme-guidance-annex-ii/2025-07-30-ec-rec/129-13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5" Type="http://schemas.openxmlformats.org/officeDocument/2006/relationships/hyperlink" Target="https://xbrl.efrag.org/eng/interactive/vsme/vsme-guidance-annex-ii/2025-07-30-ec-rec/129-136" TargetMode="External"/><Relationship Id="rId23" Type="http://schemas.openxmlformats.org/officeDocument/2006/relationships/hyperlink" Target="https://xbrl.efrag.org/eng/interactive/vsme/vsme-standard-annex-i/2025-07-30-ec-rec/61/c" TargetMode="External"/><Relationship Id="rId28" Type="http://schemas.openxmlformats.org/officeDocument/2006/relationships/hyperlink" Target="https://xbrl.efrag.org/eng/interactive/vsme/vsme-standard-annex-i/2025-07-30-ec-rec/62" TargetMode="External"/><Relationship Id="rId36" Type="http://schemas.openxmlformats.org/officeDocument/2006/relationships/hyperlink" Target="https://xbrl.efrag.org/eng/interactive/vsme/vsme-standard-annex-i/2025-07-30-ec-rec/42/b" TargetMode="External"/><Relationship Id="rId49" Type="http://schemas.openxmlformats.org/officeDocument/2006/relationships/hyperlink" Target="https://xbrl.efrag.org/eng/interactive/vsme/vsme-standard-annex-i/2025-07-30-ec-rec/41/a" TargetMode="External"/><Relationship Id="rId57" Type="http://schemas.openxmlformats.org/officeDocument/2006/relationships/hyperlink" Target="https://xbrl.efrag.org/eng/interactive/vsme/vsme-standard-annex-i/2025-07-30-ec-rec/61/b" TargetMode="External"/><Relationship Id="rId10" Type="http://schemas.openxmlformats.org/officeDocument/2006/relationships/hyperlink" Target="https://xbrl.efrag.org/eng/interactive/vsme/vsme-guidance-annex-ii/2025-07-30-ec-rec/119-126" TargetMode="External"/><Relationship Id="rId31" Type="http://schemas.openxmlformats.org/officeDocument/2006/relationships/hyperlink" Target="https://xbrl.efrag.org/eng/interactive/vsme/vsme-standard-annex-i/2025-07-30-ec-rec/39/a" TargetMode="External"/><Relationship Id="rId44" Type="http://schemas.openxmlformats.org/officeDocument/2006/relationships/hyperlink" Target="https://xbrl.efrag.org/eng/interactive/vsme/vsme-guidance-annex-ii/2025-07-30-ec-rec/110-117" TargetMode="External"/><Relationship Id="rId52" Type="http://schemas.openxmlformats.org/officeDocument/2006/relationships/hyperlink" Target="https://xbrl.efrag.org/eng/interactive/vsme/vsme-standard-annex-i/2025-07-30-ec-rec/59" TargetMode="External"/><Relationship Id="rId60" Type="http://schemas.openxmlformats.org/officeDocument/2006/relationships/hyperlink" Target="https://xbrl.efrag.org/eng/interactive/vsme/vsme-standard-annex-i/2025-07-30-ec-rec/61/b" TargetMode="External"/><Relationship Id="rId65" Type="http://schemas.openxmlformats.org/officeDocument/2006/relationships/hyperlink" Target="https://xbrl.efrag.org/eng/interactive/vsme/vsme-standard-annex-i/2025-07-30-ec-rec/62/a" TargetMode="External"/><Relationship Id="rId73" Type="http://schemas.openxmlformats.org/officeDocument/2006/relationships/hyperlink" Target="https://xbrl.efrag.org/eng/interactive/vsme/vsme-guidance-annex-ii/2025-07-30-ec-rec/173" TargetMode="External"/><Relationship Id="rId78" Type="http://schemas.openxmlformats.org/officeDocument/2006/relationships/hyperlink" Target="https://xbrl.efrag.org/eng/interactive/vsme/vsme-guidance-annex-ii/2025-07-30-ec-rec/174" TargetMode="External"/><Relationship Id="rId81" Type="http://schemas.openxmlformats.org/officeDocument/2006/relationships/hyperlink" Target="https://xbrl.efrag.org/eng/interactive/vsme/vsme-guidance-annex-ii/2025-07-30-ec-rec/174" TargetMode="External"/><Relationship Id="rId86" Type="http://schemas.openxmlformats.org/officeDocument/2006/relationships/hyperlink" Target="https://xbrl.efrag.org/eng/interactive/vsme/vsme-guidance-annex-ii/2025-07-30-ec-rec/174" TargetMode="External"/><Relationship Id="rId94" Type="http://schemas.openxmlformats.org/officeDocument/2006/relationships/hyperlink" Target="https://xbrl.efrag.org/eng/interactive/vsme/vsme-guidance-annex-ii/2025-07-30-ec-rec/167-169"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ng/interactive/vsme/vsme-standard-annex-i/2025-07-30-ec-rec/41/a" TargetMode="External"/><Relationship Id="rId13" Type="http://schemas.openxmlformats.org/officeDocument/2006/relationships/hyperlink" Target="https://xbrl.efrag.org/eng/interactive/vsme/vsme-guidance-annex-ii/2025-07-30-ec-rec/127-128" TargetMode="External"/><Relationship Id="rId18" Type="http://schemas.openxmlformats.org/officeDocument/2006/relationships/hyperlink" Target="https://xbrl.efrag.org/eng/interactive/vsme/vsme-standard-annex-i/2025-07-30-ec-rec/60" TargetMode="External"/><Relationship Id="rId39" Type="http://schemas.openxmlformats.org/officeDocument/2006/relationships/hyperlink" Target="https://xbrl.efrag.org/eng/interactive/vsme/vsme-standard-annex-i/2025-07-30-ec-rec/60" TargetMode="External"/><Relationship Id="rId34" Type="http://schemas.openxmlformats.org/officeDocument/2006/relationships/hyperlink" Target="https://xbrl.efrag.org/eng/interactive/vsme/vsme-standard-annex-i/2025-07-30-ec-rec/40" TargetMode="External"/><Relationship Id="rId50" Type="http://schemas.openxmlformats.org/officeDocument/2006/relationships/hyperlink" Target="https://xbrl.efrag.org/eng/interactive/vsme/vsme-standard-annex-i/2025-07-30-ec-rec/42/b" TargetMode="External"/><Relationship Id="rId55" Type="http://schemas.openxmlformats.org/officeDocument/2006/relationships/hyperlink" Target="https://xbrl.efrag.org/eng/interactive/vsme/vsme-standard-annex-i/2025-07-30-ec-rec/61/b" TargetMode="External"/><Relationship Id="rId76" Type="http://schemas.openxmlformats.org/officeDocument/2006/relationships/hyperlink" Target="https://xbrl.efrag.org/eng/interactive/vsme/vsme-guidance-annex-ii/2025-07-30-ec-rec/173"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173" TargetMode="External"/><Relationship Id="rId92" Type="http://schemas.openxmlformats.org/officeDocument/2006/relationships/hyperlink" Target="https://xbrl.efrag.org/eng/interactive/vsme/vsme-guidance-annex-ii/2025-07-30-ec-rec/170-172"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ng/interactive/vsme/vsme-standard-annex-i/2025-07-30-ec-rec/62/b" TargetMode="External"/><Relationship Id="rId24" Type="http://schemas.openxmlformats.org/officeDocument/2006/relationships/hyperlink" Target="https://xbrl.efrag.org/eng/interactive/vsme/vsme-guidance-annex-ii/2025-07-30-ec-rec/173" TargetMode="External"/><Relationship Id="rId40" Type="http://schemas.openxmlformats.org/officeDocument/2006/relationships/hyperlink" Target="https://xbrl.efrag.org/eng/interactive/vsme/vsme-standard-annex-i/2025-07-30-ec-rec/62/c" TargetMode="External"/><Relationship Id="rId45" Type="http://schemas.openxmlformats.org/officeDocument/2006/relationships/hyperlink" Target="https://xbrl.efrag.org/eng/interactive/vsme/vsme-guidance-annex-ii/2025-07-30-ec-rec/118" TargetMode="External"/><Relationship Id="rId66" Type="http://schemas.openxmlformats.org/officeDocument/2006/relationships/hyperlink" Target="https://xbrl.efrag.org/eng/interactive/vsme/vsme-standard-annex-i/2025-07-30-ec-rec/62/a" TargetMode="External"/><Relationship Id="rId87" Type="http://schemas.openxmlformats.org/officeDocument/2006/relationships/hyperlink" Target="https://xbrl.efrag.org/eng/interactive/vsme/vsme-guidance-annex-ii/2025-07-30-ec-rec/119-126" TargetMode="External"/><Relationship Id="rId61" Type="http://schemas.openxmlformats.org/officeDocument/2006/relationships/hyperlink" Target="https://xbrl.efrag.org/eng/interactive/vsme/vsme-standard-annex-i/2025-07-30-ec-rec/62/a" TargetMode="External"/><Relationship Id="rId82" Type="http://schemas.openxmlformats.org/officeDocument/2006/relationships/hyperlink" Target="https://xbrl.efrag.org/eng/interactive/vsme/vsme-guidance-annex-ii/2025-07-30-ec-rec/174" TargetMode="External"/><Relationship Id="rId19" Type="http://schemas.openxmlformats.org/officeDocument/2006/relationships/hyperlink" Target="https://xbrl.efrag.org/eng/interactive/vsme/vsme-guidance-annex-ii/2025-07-30-ec-rec/167-169" TargetMode="External"/><Relationship Id="rId14"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ng/interactive/vsme/vsme-standard-annex-i/2025-07-30-ec-rec/41/b" TargetMode="External"/><Relationship Id="rId56" Type="http://schemas.openxmlformats.org/officeDocument/2006/relationships/hyperlink" Target="https://xbrl.efrag.org/eng/interactive/vsme/vsme-standard-annex-i/2025-07-30-ec-rec/61/b" TargetMode="External"/><Relationship Id="rId77" Type="http://schemas.openxmlformats.org/officeDocument/2006/relationships/hyperlink" Target="https://xbrl.efrag.org/eng/interactive/vsme/vsme-guidance-annex-ii/2025-07-30-ec-rec/174"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xbrl.efrag.org/eng/interactive/vsme/vsme-guidance-annex-ii/2025-07-30-ec-rec/177/d" TargetMode="External"/><Relationship Id="rId18" Type="http://schemas.openxmlformats.org/officeDocument/2006/relationships/hyperlink" Target="https://knowledgehub.efrag.org/eng/interactive/vsme/vsme-standard-annex-i/08-2025/64" TargetMode="External"/><Relationship Id="rId26" Type="http://schemas.openxmlformats.org/officeDocument/2006/relationships/hyperlink" Target="https://xbrl.efrag.org/eng/interactive/vsme/vsme-standard-annex-i/2025-07-30-ec-rec/64" TargetMode="External"/><Relationship Id="rId3"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guidance-annex-ii/2025-07-30-ec-rec/141-144" TargetMode="External"/><Relationship Id="rId34" Type="http://schemas.openxmlformats.org/officeDocument/2006/relationships/hyperlink" Target="https://xbrl.efrag.org/eng/interactive/vsme/vsme-guidance-annex-ii/2025-07-30-ec-rec/175-176" TargetMode="External"/><Relationship Id="rId7" Type="http://schemas.openxmlformats.org/officeDocument/2006/relationships/hyperlink" Target="https://xbrl.efrag.org/eng/interactive/vsme/vsme-standard-annex-i/2025-07-30-ec-rec/63/d" TargetMode="External"/><Relationship Id="rId12" Type="http://schemas.openxmlformats.org/officeDocument/2006/relationships/hyperlink" Target="https://xbrl.efrag.org/eng/interactive/vsme/vsme-guidance-annex-ii/2025-07-30-ec-rec/177/c" TargetMode="External"/><Relationship Id="rId17" Type="http://schemas.openxmlformats.org/officeDocument/2006/relationships/hyperlink" Target="https://xbrl.efrag.org/eng/interactive/vsme/vsme-standard-annex-i/2025-07-30-ec-rec/64" TargetMode="External"/><Relationship Id="rId25" Type="http://schemas.openxmlformats.org/officeDocument/2006/relationships/hyperlink" Target="https://xbrl.efrag.org/eng/interactive/vsme/vsme-standard-annex-i/2025-07-30-ec-rec/63/c" TargetMode="External"/><Relationship Id="rId33" Type="http://schemas.openxmlformats.org/officeDocument/2006/relationships/hyperlink" Target="https://xbrl.efrag.org/eng/interactive/vsme/vsme-guidance-annex-ii/2025-07-30-ec-rec/175-176"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3" TargetMode="External"/><Relationship Id="rId20" Type="http://schemas.openxmlformats.org/officeDocument/2006/relationships/hyperlink" Target="https://xbrl.efrag.org/eng/interactive/vsme/vsme-standard-annex-i/2025-07-30-ec-rec/10" TargetMode="External"/><Relationship Id="rId29" Type="http://schemas.openxmlformats.org/officeDocument/2006/relationships/hyperlink" Target="https://xbrl.efrag.org/eng/interactive/vsme/vsme-guidance-annex-ii/2025-07-30-ec-rec/175-17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63/c" TargetMode="External"/><Relationship Id="rId11" Type="http://schemas.openxmlformats.org/officeDocument/2006/relationships/hyperlink" Target="https://xbrl.efrag.org/eng/interactive/vsme/vsme-guidance-annex-ii/2025-07-30-ec-rec/177/b" TargetMode="External"/><Relationship Id="rId24" Type="http://schemas.openxmlformats.org/officeDocument/2006/relationships/hyperlink" Target="https://xbrl.efrag.org/eng/interactive/vsme/vsme-standard-annex-i/2025-07-30-ec-rec/63/c" TargetMode="External"/><Relationship Id="rId32" Type="http://schemas.openxmlformats.org/officeDocument/2006/relationships/hyperlink" Target="https://xbrl.efrag.org/eng/interactive/vsme/vsme-guidance-annex-ii/2025-07-30-ec-rec/175-176" TargetMode="External"/><Relationship Id="rId5" Type="http://schemas.openxmlformats.org/officeDocument/2006/relationships/hyperlink" Target="https://xbrl.efrag.org/eng/interactive/vsme/vsme-standard-annex-i/2025-07-30-ec-rec/63/b" TargetMode="External"/><Relationship Id="rId15" Type="http://schemas.openxmlformats.org/officeDocument/2006/relationships/hyperlink" Target="https://xbrl.efrag.org/eng/interactive/vsme/vsme-guidance-annex-ii/2025-07-30-ec-rec/175-176" TargetMode="External"/><Relationship Id="rId23" Type="http://schemas.openxmlformats.org/officeDocument/2006/relationships/hyperlink" Target="https://xbrl.efrag.org/eng/interactive/vsme/vsme-standard-annex-i/2025-07-30-ec-rec/63/c" TargetMode="External"/><Relationship Id="rId28" Type="http://schemas.openxmlformats.org/officeDocument/2006/relationships/hyperlink" Target="https://xbrl.efrag.org/eng/interactive/vsme/vsme-standard-annex-i/2025-07-30-ec-rec/64" TargetMode="External"/><Relationship Id="rId10" Type="http://schemas.openxmlformats.org/officeDocument/2006/relationships/hyperlink" Target="https://xbrl.efrag.org/eng/interactive/vsme/vsme-guidance-annex-ii/2025-07-30-ec-rec/177/a" TargetMode="External"/><Relationship Id="rId19" Type="http://schemas.openxmlformats.org/officeDocument/2006/relationships/hyperlink" Target="https://xbrl.efrag.org/eng/interactive/vsme/vsme-standard-annex-i/2025-07-30-ec-rec/65" TargetMode="External"/><Relationship Id="rId31" Type="http://schemas.openxmlformats.org/officeDocument/2006/relationships/hyperlink" Target="https://xbrl.efrag.org/eng/interactive/vsme/vsme-guidance-annex-ii/2025-07-30-ec-rec/175-176" TargetMode="External"/><Relationship Id="rId4" Type="http://schemas.openxmlformats.org/officeDocument/2006/relationships/hyperlink" Target="https://xbrl.efrag.org/eng/interactive/vsme/vsme-standard-annex-i/2025-07-30-ec-rec/63/a" TargetMode="External"/><Relationship Id="rId9" Type="http://schemas.openxmlformats.org/officeDocument/2006/relationships/hyperlink" Target="https://xbrl.efrag.org/eng/interactive/vsme/vsme-guidance-annex-ii/2025-07-30-ec-rec/177/d"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guidance-annex-ii/2025-07-30-ec-rec/178-180" TargetMode="External"/><Relationship Id="rId27" Type="http://schemas.openxmlformats.org/officeDocument/2006/relationships/hyperlink" Target="https://xbrl.efrag.org/eng/interactive/vsme/vsme-standard-annex-i/2025-07-30-ec-rec/64" TargetMode="External"/><Relationship Id="rId30" Type="http://schemas.openxmlformats.org/officeDocument/2006/relationships/hyperlink" Target="https://xbrl.efrag.org/eng/interactive/vsme/vsme-guidance-annex-ii/2025-07-30-ec-rec/175-176" TargetMode="External"/><Relationship Id="rId35" Type="http://schemas.openxmlformats.org/officeDocument/2006/relationships/drawing" Target="../drawings/drawing5.xml"/><Relationship Id="rId8" Type="http://schemas.openxmlformats.org/officeDocument/2006/relationships/hyperlink" Target="https://xbrl.efrag.org/e-esrs/2024-12-17-efrag-vsme.x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ABF2B-A48D-48A2-AAD7-137D954F82A3}">
  <dimension ref="B1:W32"/>
  <sheetViews>
    <sheetView tabSelected="1" workbookViewId="0"/>
  </sheetViews>
  <sheetFormatPr defaultColWidth="8.88671875" defaultRowHeight="14.4" x14ac:dyDescent="0.3"/>
  <cols>
    <col min="1" max="12" width="8.88671875" style="503"/>
    <col min="13" max="13" width="9.21875" style="503" customWidth="1"/>
    <col min="14" max="16384" width="8.88671875" style="503"/>
  </cols>
  <sheetData>
    <row r="1" spans="2:23" ht="15" thickBot="1" x14ac:dyDescent="0.35"/>
    <row r="2" spans="2:23" x14ac:dyDescent="0.3">
      <c r="B2" s="506" t="s">
        <v>9539</v>
      </c>
      <c r="C2" s="507"/>
      <c r="D2" s="507"/>
      <c r="E2" s="507"/>
      <c r="F2" s="507"/>
      <c r="G2" s="507"/>
      <c r="H2" s="507"/>
      <c r="I2" s="507"/>
      <c r="J2" s="507"/>
      <c r="K2" s="507"/>
      <c r="L2" s="507"/>
      <c r="M2" s="507"/>
      <c r="N2" s="507"/>
      <c r="O2" s="507"/>
      <c r="P2" s="507"/>
      <c r="Q2" s="507"/>
      <c r="R2" s="507"/>
      <c r="S2" s="507"/>
      <c r="T2" s="507"/>
      <c r="U2" s="507"/>
      <c r="V2" s="507"/>
      <c r="W2" s="508"/>
    </row>
    <row r="3" spans="2:23" x14ac:dyDescent="0.3">
      <c r="B3" s="509"/>
      <c r="C3" s="510"/>
      <c r="D3" s="510"/>
      <c r="E3" s="510"/>
      <c r="F3" s="510"/>
      <c r="G3" s="510"/>
      <c r="H3" s="510"/>
      <c r="I3" s="510"/>
      <c r="J3" s="510"/>
      <c r="K3" s="510"/>
      <c r="L3" s="510"/>
      <c r="M3" s="510"/>
      <c r="N3" s="510"/>
      <c r="O3" s="510"/>
      <c r="P3" s="510"/>
      <c r="Q3" s="510"/>
      <c r="R3" s="510"/>
      <c r="S3" s="510"/>
      <c r="T3" s="510"/>
      <c r="U3" s="510"/>
      <c r="V3" s="510"/>
      <c r="W3" s="511"/>
    </row>
    <row r="4" spans="2:23" x14ac:dyDescent="0.3">
      <c r="B4" s="509"/>
      <c r="C4" s="510"/>
      <c r="D4" s="510"/>
      <c r="E4" s="510"/>
      <c r="F4" s="510"/>
      <c r="G4" s="510"/>
      <c r="H4" s="510"/>
      <c r="I4" s="510"/>
      <c r="J4" s="510"/>
      <c r="K4" s="510"/>
      <c r="L4" s="510"/>
      <c r="M4" s="510"/>
      <c r="N4" s="510"/>
      <c r="O4" s="510"/>
      <c r="P4" s="510"/>
      <c r="Q4" s="510"/>
      <c r="R4" s="510"/>
      <c r="S4" s="510"/>
      <c r="T4" s="510"/>
      <c r="U4" s="510"/>
      <c r="V4" s="510"/>
      <c r="W4" s="511"/>
    </row>
    <row r="5" spans="2:23" x14ac:dyDescent="0.3">
      <c r="B5" s="509"/>
      <c r="C5" s="510"/>
      <c r="D5" s="510"/>
      <c r="E5" s="510"/>
      <c r="F5" s="510"/>
      <c r="G5" s="510"/>
      <c r="H5" s="510"/>
      <c r="I5" s="510"/>
      <c r="J5" s="510"/>
      <c r="K5" s="510"/>
      <c r="L5" s="510"/>
      <c r="M5" s="510"/>
      <c r="N5" s="510"/>
      <c r="O5" s="510"/>
      <c r="P5" s="510"/>
      <c r="Q5" s="510"/>
      <c r="R5" s="510"/>
      <c r="S5" s="510"/>
      <c r="T5" s="510"/>
      <c r="U5" s="510"/>
      <c r="V5" s="510"/>
      <c r="W5" s="511"/>
    </row>
    <row r="6" spans="2:23" x14ac:dyDescent="0.3">
      <c r="B6" s="509"/>
      <c r="C6" s="510"/>
      <c r="D6" s="510"/>
      <c r="E6" s="510"/>
      <c r="F6" s="510"/>
      <c r="G6" s="510"/>
      <c r="H6" s="510"/>
      <c r="I6" s="510"/>
      <c r="J6" s="510"/>
      <c r="K6" s="510"/>
      <c r="L6" s="510"/>
      <c r="M6" s="510"/>
      <c r="N6" s="510"/>
      <c r="O6" s="510"/>
      <c r="P6" s="510"/>
      <c r="Q6" s="510"/>
      <c r="R6" s="510"/>
      <c r="S6" s="510"/>
      <c r="T6" s="510"/>
      <c r="U6" s="510"/>
      <c r="V6" s="510"/>
      <c r="W6" s="511"/>
    </row>
    <row r="7" spans="2:23" x14ac:dyDescent="0.3">
      <c r="B7" s="509"/>
      <c r="C7" s="510"/>
      <c r="D7" s="510"/>
      <c r="E7" s="510"/>
      <c r="F7" s="510"/>
      <c r="G7" s="510"/>
      <c r="H7" s="510"/>
      <c r="I7" s="510"/>
      <c r="J7" s="510"/>
      <c r="K7" s="510"/>
      <c r="L7" s="510"/>
      <c r="M7" s="510"/>
      <c r="N7" s="510"/>
      <c r="O7" s="510"/>
      <c r="P7" s="510"/>
      <c r="Q7" s="510"/>
      <c r="R7" s="510"/>
      <c r="S7" s="510"/>
      <c r="T7" s="510"/>
      <c r="U7" s="510"/>
      <c r="V7" s="510"/>
      <c r="W7" s="511"/>
    </row>
    <row r="8" spans="2:23" x14ac:dyDescent="0.3">
      <c r="B8" s="509"/>
      <c r="C8" s="510"/>
      <c r="D8" s="510"/>
      <c r="E8" s="510"/>
      <c r="F8" s="510"/>
      <c r="G8" s="510"/>
      <c r="H8" s="510"/>
      <c r="I8" s="510"/>
      <c r="J8" s="510"/>
      <c r="K8" s="510"/>
      <c r="L8" s="510"/>
      <c r="M8" s="510"/>
      <c r="N8" s="510"/>
      <c r="O8" s="510"/>
      <c r="P8" s="510"/>
      <c r="Q8" s="510"/>
      <c r="R8" s="510"/>
      <c r="S8" s="510"/>
      <c r="T8" s="510"/>
      <c r="U8" s="510"/>
      <c r="V8" s="510"/>
      <c r="W8" s="511"/>
    </row>
    <row r="9" spans="2:23" x14ac:dyDescent="0.3">
      <c r="B9" s="509"/>
      <c r="C9" s="510"/>
      <c r="D9" s="510"/>
      <c r="E9" s="510"/>
      <c r="F9" s="510"/>
      <c r="G9" s="510"/>
      <c r="H9" s="510"/>
      <c r="I9" s="510"/>
      <c r="J9" s="510"/>
      <c r="K9" s="510"/>
      <c r="L9" s="510"/>
      <c r="M9" s="510"/>
      <c r="N9" s="510"/>
      <c r="O9" s="510"/>
      <c r="P9" s="510"/>
      <c r="Q9" s="510"/>
      <c r="R9" s="510"/>
      <c r="S9" s="510"/>
      <c r="T9" s="510"/>
      <c r="U9" s="510"/>
      <c r="V9" s="510"/>
      <c r="W9" s="511"/>
    </row>
    <row r="10" spans="2:23" x14ac:dyDescent="0.3">
      <c r="B10" s="509"/>
      <c r="C10" s="510"/>
      <c r="D10" s="510"/>
      <c r="E10" s="510"/>
      <c r="F10" s="510"/>
      <c r="G10" s="510"/>
      <c r="H10" s="510"/>
      <c r="I10" s="510"/>
      <c r="J10" s="510"/>
      <c r="K10" s="510"/>
      <c r="L10" s="510"/>
      <c r="M10" s="510"/>
      <c r="N10" s="510"/>
      <c r="O10" s="510"/>
      <c r="P10" s="510"/>
      <c r="Q10" s="510"/>
      <c r="R10" s="510"/>
      <c r="S10" s="510"/>
      <c r="T10" s="510"/>
      <c r="U10" s="510"/>
      <c r="V10" s="510"/>
      <c r="W10" s="511"/>
    </row>
    <row r="11" spans="2:23" x14ac:dyDescent="0.3">
      <c r="B11" s="509"/>
      <c r="C11" s="510"/>
      <c r="D11" s="510"/>
      <c r="E11" s="510"/>
      <c r="F11" s="510"/>
      <c r="G11" s="510"/>
      <c r="H11" s="510"/>
      <c r="I11" s="510"/>
      <c r="J11" s="510"/>
      <c r="K11" s="510"/>
      <c r="L11" s="510"/>
      <c r="M11" s="510"/>
      <c r="N11" s="510"/>
      <c r="O11" s="510"/>
      <c r="P11" s="510"/>
      <c r="Q11" s="510"/>
      <c r="R11" s="510"/>
      <c r="S11" s="510"/>
      <c r="T11" s="510"/>
      <c r="U11" s="510"/>
      <c r="V11" s="510"/>
      <c r="W11" s="511"/>
    </row>
    <row r="12" spans="2:23" x14ac:dyDescent="0.3">
      <c r="B12" s="509"/>
      <c r="C12" s="510"/>
      <c r="D12" s="510"/>
      <c r="E12" s="510"/>
      <c r="F12" s="510"/>
      <c r="G12" s="510"/>
      <c r="H12" s="510"/>
      <c r="I12" s="510"/>
      <c r="J12" s="510"/>
      <c r="K12" s="510"/>
      <c r="L12" s="510"/>
      <c r="M12" s="510"/>
      <c r="N12" s="510"/>
      <c r="O12" s="510"/>
      <c r="P12" s="510"/>
      <c r="Q12" s="510"/>
      <c r="R12" s="510"/>
      <c r="S12" s="510"/>
      <c r="T12" s="510"/>
      <c r="U12" s="510"/>
      <c r="V12" s="510"/>
      <c r="W12" s="511"/>
    </row>
    <row r="13" spans="2:23" x14ac:dyDescent="0.3">
      <c r="B13" s="509"/>
      <c r="C13" s="510"/>
      <c r="D13" s="510"/>
      <c r="E13" s="510"/>
      <c r="F13" s="510"/>
      <c r="G13" s="510"/>
      <c r="H13" s="510"/>
      <c r="I13" s="510"/>
      <c r="J13" s="510"/>
      <c r="K13" s="510"/>
      <c r="L13" s="510"/>
      <c r="M13" s="510"/>
      <c r="N13" s="510"/>
      <c r="O13" s="510"/>
      <c r="P13" s="510"/>
      <c r="Q13" s="510"/>
      <c r="R13" s="510"/>
      <c r="S13" s="510"/>
      <c r="T13" s="510"/>
      <c r="U13" s="510"/>
      <c r="V13" s="510"/>
      <c r="W13" s="511"/>
    </row>
    <row r="14" spans="2:23" x14ac:dyDescent="0.3">
      <c r="B14" s="509"/>
      <c r="C14" s="510"/>
      <c r="D14" s="510"/>
      <c r="E14" s="510"/>
      <c r="F14" s="510"/>
      <c r="G14" s="510"/>
      <c r="H14" s="510"/>
      <c r="I14" s="510"/>
      <c r="J14" s="510"/>
      <c r="K14" s="510"/>
      <c r="L14" s="510"/>
      <c r="M14" s="510"/>
      <c r="N14" s="510"/>
      <c r="O14" s="510"/>
      <c r="P14" s="510"/>
      <c r="Q14" s="510"/>
      <c r="R14" s="510"/>
      <c r="S14" s="510"/>
      <c r="T14" s="510"/>
      <c r="U14" s="510"/>
      <c r="V14" s="510"/>
      <c r="W14" s="511"/>
    </row>
    <row r="15" spans="2:23" x14ac:dyDescent="0.3">
      <c r="B15" s="509"/>
      <c r="C15" s="510"/>
      <c r="D15" s="510"/>
      <c r="E15" s="510"/>
      <c r="F15" s="510"/>
      <c r="G15" s="510"/>
      <c r="H15" s="510"/>
      <c r="I15" s="510"/>
      <c r="J15" s="510"/>
      <c r="K15" s="510"/>
      <c r="L15" s="510"/>
      <c r="M15" s="510"/>
      <c r="N15" s="510"/>
      <c r="O15" s="510"/>
      <c r="P15" s="510"/>
      <c r="Q15" s="510"/>
      <c r="R15" s="510"/>
      <c r="S15" s="510"/>
      <c r="T15" s="510"/>
      <c r="U15" s="510"/>
      <c r="V15" s="510"/>
      <c r="W15" s="511"/>
    </row>
    <row r="16" spans="2:23" x14ac:dyDescent="0.3">
      <c r="B16" s="509"/>
      <c r="C16" s="510"/>
      <c r="D16" s="510"/>
      <c r="E16" s="510"/>
      <c r="F16" s="510"/>
      <c r="G16" s="510"/>
      <c r="H16" s="510"/>
      <c r="I16" s="510"/>
      <c r="J16" s="510"/>
      <c r="K16" s="510"/>
      <c r="L16" s="510"/>
      <c r="M16" s="510"/>
      <c r="N16" s="510"/>
      <c r="O16" s="510"/>
      <c r="P16" s="510"/>
      <c r="Q16" s="510"/>
      <c r="R16" s="510"/>
      <c r="S16" s="510"/>
      <c r="T16" s="510"/>
      <c r="U16" s="510"/>
      <c r="V16" s="510"/>
      <c r="W16" s="511"/>
    </row>
    <row r="17" spans="2:23" x14ac:dyDescent="0.3">
      <c r="B17" s="509"/>
      <c r="C17" s="510"/>
      <c r="D17" s="510"/>
      <c r="E17" s="510"/>
      <c r="F17" s="510"/>
      <c r="G17" s="510"/>
      <c r="H17" s="510"/>
      <c r="I17" s="510"/>
      <c r="J17" s="510"/>
      <c r="K17" s="510"/>
      <c r="L17" s="510"/>
      <c r="M17" s="510"/>
      <c r="N17" s="510"/>
      <c r="O17" s="510"/>
      <c r="P17" s="510"/>
      <c r="Q17" s="510"/>
      <c r="R17" s="510"/>
      <c r="S17" s="510"/>
      <c r="T17" s="510"/>
      <c r="U17" s="510"/>
      <c r="V17" s="510"/>
      <c r="W17" s="511"/>
    </row>
    <row r="18" spans="2:23" x14ac:dyDescent="0.3">
      <c r="B18" s="509"/>
      <c r="C18" s="510"/>
      <c r="D18" s="510"/>
      <c r="E18" s="510"/>
      <c r="F18" s="510"/>
      <c r="G18" s="510"/>
      <c r="H18" s="510"/>
      <c r="I18" s="510"/>
      <c r="J18" s="510"/>
      <c r="K18" s="510"/>
      <c r="L18" s="510"/>
      <c r="M18" s="510"/>
      <c r="N18" s="510"/>
      <c r="O18" s="510"/>
      <c r="P18" s="510"/>
      <c r="Q18" s="510"/>
      <c r="R18" s="510"/>
      <c r="S18" s="510"/>
      <c r="T18" s="510"/>
      <c r="U18" s="510"/>
      <c r="V18" s="510"/>
      <c r="W18" s="511"/>
    </row>
    <row r="19" spans="2:23" x14ac:dyDescent="0.3">
      <c r="B19" s="509"/>
      <c r="C19" s="510"/>
      <c r="D19" s="510"/>
      <c r="E19" s="510"/>
      <c r="F19" s="510"/>
      <c r="G19" s="510"/>
      <c r="H19" s="510"/>
      <c r="I19" s="510"/>
      <c r="J19" s="510"/>
      <c r="K19" s="510"/>
      <c r="L19" s="510"/>
      <c r="M19" s="510"/>
      <c r="N19" s="510"/>
      <c r="O19" s="510"/>
      <c r="P19" s="510"/>
      <c r="Q19" s="510"/>
      <c r="R19" s="510"/>
      <c r="S19" s="510"/>
      <c r="T19" s="510"/>
      <c r="U19" s="510"/>
      <c r="V19" s="510"/>
      <c r="W19" s="511"/>
    </row>
    <row r="20" spans="2:23" x14ac:dyDescent="0.3">
      <c r="B20" s="509"/>
      <c r="C20" s="510"/>
      <c r="D20" s="510"/>
      <c r="E20" s="510"/>
      <c r="F20" s="510"/>
      <c r="G20" s="510"/>
      <c r="H20" s="510"/>
      <c r="I20" s="510"/>
      <c r="J20" s="510"/>
      <c r="K20" s="510"/>
      <c r="L20" s="510"/>
      <c r="M20" s="510"/>
      <c r="N20" s="510"/>
      <c r="O20" s="510"/>
      <c r="P20" s="510"/>
      <c r="Q20" s="510"/>
      <c r="R20" s="510"/>
      <c r="S20" s="510"/>
      <c r="T20" s="510"/>
      <c r="U20" s="510"/>
      <c r="V20" s="510"/>
      <c r="W20" s="511"/>
    </row>
    <row r="21" spans="2:23" x14ac:dyDescent="0.3">
      <c r="B21" s="509"/>
      <c r="C21" s="510"/>
      <c r="D21" s="510"/>
      <c r="E21" s="510"/>
      <c r="F21" s="510"/>
      <c r="G21" s="510"/>
      <c r="H21" s="510"/>
      <c r="I21" s="510"/>
      <c r="J21" s="510"/>
      <c r="K21" s="510"/>
      <c r="L21" s="510"/>
      <c r="M21" s="510"/>
      <c r="N21" s="510"/>
      <c r="O21" s="510"/>
      <c r="P21" s="510"/>
      <c r="Q21" s="510"/>
      <c r="R21" s="510"/>
      <c r="S21" s="510"/>
      <c r="T21" s="510"/>
      <c r="U21" s="510"/>
      <c r="V21" s="510"/>
      <c r="W21" s="511"/>
    </row>
    <row r="22" spans="2:23" ht="15" thickBot="1" x14ac:dyDescent="0.35">
      <c r="B22" s="512"/>
      <c r="C22" s="513"/>
      <c r="D22" s="513"/>
      <c r="E22" s="513"/>
      <c r="F22" s="513"/>
      <c r="G22" s="513"/>
      <c r="H22" s="513"/>
      <c r="I22" s="513"/>
      <c r="J22" s="513"/>
      <c r="K22" s="513"/>
      <c r="L22" s="513"/>
      <c r="M22" s="513"/>
      <c r="N22" s="513"/>
      <c r="O22" s="513"/>
      <c r="P22" s="513"/>
      <c r="Q22" s="513"/>
      <c r="R22" s="513"/>
      <c r="S22" s="513"/>
      <c r="T22" s="513"/>
      <c r="U22" s="513"/>
      <c r="V22" s="513"/>
      <c r="W22" s="514"/>
    </row>
    <row r="23" spans="2:23" ht="15" thickBot="1" x14ac:dyDescent="0.35"/>
    <row r="24" spans="2:23" x14ac:dyDescent="0.3">
      <c r="B24" s="515" t="s">
        <v>9540</v>
      </c>
      <c r="C24" s="516"/>
      <c r="D24" s="516"/>
      <c r="E24" s="516"/>
      <c r="F24" s="516"/>
      <c r="G24" s="516"/>
      <c r="H24" s="516"/>
      <c r="I24" s="516"/>
      <c r="J24" s="516"/>
      <c r="K24" s="516"/>
      <c r="L24" s="516"/>
      <c r="M24" s="516"/>
      <c r="N24" s="516"/>
      <c r="O24" s="516"/>
      <c r="P24" s="516"/>
      <c r="Q24" s="516"/>
      <c r="R24" s="516"/>
      <c r="S24" s="516"/>
      <c r="T24" s="516"/>
      <c r="U24" s="516"/>
      <c r="V24" s="516"/>
      <c r="W24" s="517"/>
    </row>
    <row r="25" spans="2:23" ht="14.4" customHeight="1" x14ac:dyDescent="0.3">
      <c r="B25" s="518"/>
      <c r="C25" s="519"/>
      <c r="D25" s="519"/>
      <c r="E25" s="519"/>
      <c r="F25" s="519"/>
      <c r="G25" s="519"/>
      <c r="H25" s="519"/>
      <c r="I25" s="519"/>
      <c r="J25" s="519"/>
      <c r="K25" s="519"/>
      <c r="L25" s="519"/>
      <c r="M25" s="519"/>
      <c r="N25" s="519"/>
      <c r="O25" s="519"/>
      <c r="P25" s="519"/>
      <c r="Q25" s="519"/>
      <c r="R25" s="519"/>
      <c r="S25" s="519"/>
      <c r="T25" s="519"/>
      <c r="U25" s="519"/>
      <c r="V25" s="519"/>
      <c r="W25" s="520"/>
    </row>
    <row r="26" spans="2:23" ht="14.4" customHeight="1" x14ac:dyDescent="0.3">
      <c r="B26" s="518"/>
      <c r="C26" s="519"/>
      <c r="D26" s="519"/>
      <c r="E26" s="519"/>
      <c r="F26" s="519"/>
      <c r="G26" s="519"/>
      <c r="H26" s="519"/>
      <c r="I26" s="519"/>
      <c r="J26" s="519"/>
      <c r="K26" s="519"/>
      <c r="L26" s="519"/>
      <c r="M26" s="519"/>
      <c r="N26" s="519"/>
      <c r="O26" s="519"/>
      <c r="P26" s="519"/>
      <c r="Q26" s="519"/>
      <c r="R26" s="519"/>
      <c r="S26" s="519"/>
      <c r="T26" s="519"/>
      <c r="U26" s="519"/>
      <c r="V26" s="519"/>
      <c r="W26" s="520"/>
    </row>
    <row r="27" spans="2:23" ht="14.4" customHeight="1" x14ac:dyDescent="0.3">
      <c r="B27" s="518"/>
      <c r="C27" s="519"/>
      <c r="D27" s="519"/>
      <c r="E27" s="519"/>
      <c r="F27" s="519"/>
      <c r="G27" s="519"/>
      <c r="H27" s="519"/>
      <c r="I27" s="519"/>
      <c r="J27" s="519"/>
      <c r="K27" s="519"/>
      <c r="L27" s="519"/>
      <c r="M27" s="519"/>
      <c r="N27" s="519"/>
      <c r="O27" s="519"/>
      <c r="P27" s="519"/>
      <c r="Q27" s="519"/>
      <c r="R27" s="519"/>
      <c r="S27" s="519"/>
      <c r="T27" s="519"/>
      <c r="U27" s="519"/>
      <c r="V27" s="519"/>
      <c r="W27" s="520"/>
    </row>
    <row r="28" spans="2:23" ht="14.4" customHeight="1" x14ac:dyDescent="0.3">
      <c r="B28" s="518"/>
      <c r="C28" s="519"/>
      <c r="D28" s="519"/>
      <c r="E28" s="519"/>
      <c r="F28" s="519"/>
      <c r="G28" s="519"/>
      <c r="H28" s="519"/>
      <c r="I28" s="519"/>
      <c r="J28" s="519"/>
      <c r="K28" s="519"/>
      <c r="L28" s="519"/>
      <c r="M28" s="519"/>
      <c r="N28" s="519"/>
      <c r="O28" s="519"/>
      <c r="P28" s="519"/>
      <c r="Q28" s="519"/>
      <c r="R28" s="519"/>
      <c r="S28" s="519"/>
      <c r="T28" s="519"/>
      <c r="U28" s="519"/>
      <c r="V28" s="519"/>
      <c r="W28" s="520"/>
    </row>
    <row r="29" spans="2:23" ht="10.8" customHeight="1" x14ac:dyDescent="0.3">
      <c r="B29" s="518"/>
      <c r="C29" s="519"/>
      <c r="D29" s="519"/>
      <c r="E29" s="519"/>
      <c r="F29" s="519"/>
      <c r="G29" s="519"/>
      <c r="H29" s="519"/>
      <c r="I29" s="519"/>
      <c r="J29" s="519"/>
      <c r="K29" s="519"/>
      <c r="L29" s="519"/>
      <c r="M29" s="519"/>
      <c r="N29" s="519"/>
      <c r="O29" s="519"/>
      <c r="P29" s="519"/>
      <c r="Q29" s="519"/>
      <c r="R29" s="519"/>
      <c r="S29" s="519"/>
      <c r="T29" s="519"/>
      <c r="U29" s="519"/>
      <c r="V29" s="519"/>
      <c r="W29" s="520"/>
    </row>
    <row r="30" spans="2:23" ht="14.4" hidden="1" customHeight="1" x14ac:dyDescent="0.3">
      <c r="B30" s="518"/>
      <c r="C30" s="519"/>
      <c r="D30" s="519"/>
      <c r="E30" s="519"/>
      <c r="F30" s="519"/>
      <c r="G30" s="519"/>
      <c r="H30" s="519"/>
      <c r="I30" s="519"/>
      <c r="J30" s="519"/>
      <c r="K30" s="519"/>
      <c r="L30" s="519"/>
      <c r="M30" s="519"/>
      <c r="N30" s="519"/>
      <c r="O30" s="519"/>
      <c r="P30" s="519"/>
      <c r="Q30" s="519"/>
      <c r="R30" s="519"/>
      <c r="S30" s="519"/>
      <c r="T30" s="519"/>
      <c r="U30" s="519"/>
      <c r="V30" s="519"/>
      <c r="W30" s="520"/>
    </row>
    <row r="31" spans="2:23" ht="15" hidden="1" customHeight="1" x14ac:dyDescent="0.3">
      <c r="B31" s="518"/>
      <c r="C31" s="519"/>
      <c r="D31" s="519"/>
      <c r="E31" s="519"/>
      <c r="F31" s="519"/>
      <c r="G31" s="519"/>
      <c r="H31" s="519"/>
      <c r="I31" s="519"/>
      <c r="J31" s="519"/>
      <c r="K31" s="519"/>
      <c r="L31" s="519"/>
      <c r="M31" s="519"/>
      <c r="N31" s="519"/>
      <c r="O31" s="519"/>
      <c r="P31" s="519"/>
      <c r="Q31" s="519"/>
      <c r="R31" s="519"/>
      <c r="S31" s="519"/>
      <c r="T31" s="519"/>
      <c r="U31" s="519"/>
      <c r="V31" s="519"/>
      <c r="W31" s="520"/>
    </row>
    <row r="32" spans="2:23" ht="15" thickBot="1" x14ac:dyDescent="0.35">
      <c r="B32" s="521"/>
      <c r="C32" s="522"/>
      <c r="D32" s="522"/>
      <c r="E32" s="522"/>
      <c r="F32" s="522"/>
      <c r="G32" s="522"/>
      <c r="H32" s="522"/>
      <c r="I32" s="522"/>
      <c r="J32" s="522"/>
      <c r="K32" s="522"/>
      <c r="L32" s="522"/>
      <c r="M32" s="522"/>
      <c r="N32" s="522"/>
      <c r="O32" s="522"/>
      <c r="P32" s="522"/>
      <c r="Q32" s="522"/>
      <c r="R32" s="522"/>
      <c r="S32" s="522"/>
      <c r="T32" s="522"/>
      <c r="U32" s="522"/>
      <c r="V32" s="522"/>
      <c r="W32" s="523"/>
    </row>
  </sheetData>
  <sheetProtection algorithmName="SHA-512" hashValue="jMbjEya4u5CJPasISJObzYtCoAiIyvy9hMAnOCBFVZuSV+wJBJnnZvOBMqi49ddg2vKADouk6FjhXzAWIbYTrw==" saltValue="Gj5r2oILQLvxO5vgKkerDg==" spinCount="100000" sheet="1" objects="1" scenarios="1"/>
  <mergeCells count="2">
    <mergeCell ref="B2:W22"/>
    <mergeCell ref="B24:W3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dimension ref="A1:AK138"/>
  <sheetViews>
    <sheetView zoomScaleNormal="100" workbookViewId="0">
      <selection sqref="A1:C1"/>
    </sheetView>
  </sheetViews>
  <sheetFormatPr defaultColWidth="8.88671875" defaultRowHeight="14.4" x14ac:dyDescent="0.3"/>
  <cols>
    <col min="2" max="2" width="19.44140625" bestFit="1" customWidth="1"/>
    <col min="3" max="3" width="10.5546875" customWidth="1"/>
    <col min="4" max="4" width="43" customWidth="1"/>
    <col min="5" max="6" width="8.6640625" style="10"/>
    <col min="7" max="7" width="115.6640625" style="10" customWidth="1"/>
    <col min="8" max="37" width="8.6640625" style="10"/>
  </cols>
  <sheetData>
    <row r="1" spans="1:7" s="10" customFormat="1" ht="15.6" thickTop="1" thickBot="1" x14ac:dyDescent="0.35">
      <c r="A1" s="1227" t="str">
        <f>template_label_unit_of_measurement_converter</f>
        <v>UNIT OF MEASUREMENT CONVERTER</v>
      </c>
      <c r="B1" s="1228"/>
      <c r="C1" s="1229"/>
    </row>
    <row r="2" spans="1:7" s="10" customFormat="1" ht="15" thickTop="1" x14ac:dyDescent="0.3">
      <c r="A2" s="18"/>
      <c r="B2" s="18"/>
      <c r="C2" s="18"/>
    </row>
    <row r="3" spans="1:7" ht="15" thickBot="1" x14ac:dyDescent="0.35">
      <c r="A3" s="10"/>
      <c r="B3" s="10"/>
      <c r="C3" s="10"/>
      <c r="D3" s="10"/>
    </row>
    <row r="4" spans="1:7" ht="15" thickBot="1" x14ac:dyDescent="0.35">
      <c r="A4" s="1224" t="str">
        <f>template_label_unit_of_measurement_of_mass_converter</f>
        <v>Unit of measurement of Mass Converter</v>
      </c>
      <c r="B4" s="1225"/>
      <c r="C4" s="1225"/>
      <c r="D4" s="1225"/>
      <c r="E4" s="50"/>
      <c r="G4" s="438" t="str">
        <f>template_label_usage_of_unit_of_measurement_converter</f>
        <v>Usage of Unit of Measurement Converter</v>
      </c>
    </row>
    <row r="5" spans="1:7" ht="15" thickBot="1" x14ac:dyDescent="0.35">
      <c r="A5" s="43" t="str">
        <f>template_label_from_capital_case</f>
        <v xml:space="preserve">From </v>
      </c>
      <c r="B5" s="175"/>
      <c r="C5" s="44" t="str">
        <f>template_label_to</f>
        <v>to</v>
      </c>
      <c r="D5" s="175"/>
      <c r="G5" s="396" t="str">
        <f>template_label_steps_to_follow_for_the_mass_table</f>
        <v>Steps to follow for the Mass table:</v>
      </c>
    </row>
    <row r="6" spans="1:7" ht="15" thickBot="1" x14ac:dyDescent="0.35">
      <c r="A6" s="10"/>
      <c r="B6" s="190"/>
      <c r="C6" s="10"/>
      <c r="D6" s="21"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437"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35">
      <c r="G7" s="437" t="str">
        <f>template_label_2_then_in_the_cell_b6_the_amount_of_mass_can_be_inserted</f>
        <v>2. Then in the cell B6 the amount of mass can be inserted.</v>
      </c>
    </row>
    <row r="8" spans="1:7" s="10" customFormat="1" ht="15" thickBot="1" x14ac:dyDescent="0.35">
      <c r="A8" s="1224" t="str">
        <f>template_label_unit_of_measurement_of_volume_converter</f>
        <v>Unit of measurement of Volume Converter</v>
      </c>
      <c r="B8" s="1225"/>
      <c r="C8" s="1225"/>
      <c r="D8" s="1226"/>
      <c r="G8" s="437" t="str">
        <f>template_label_3_finally_in_the_cell_d5_there_should_be_the_unit_of_measurement_of_interest</f>
        <v>3. Finally in the cell D5 there should be the unit of measurement of interest.</v>
      </c>
    </row>
    <row r="9" spans="1:7" s="10" customFormat="1" ht="15" thickBot="1" x14ac:dyDescent="0.35">
      <c r="A9" s="43" t="str">
        <f>template_label_from_capital_case</f>
        <v xml:space="preserve">From </v>
      </c>
      <c r="B9" s="175"/>
      <c r="C9" s="44" t="str">
        <f>template_label_to</f>
        <v>to</v>
      </c>
      <c r="D9" s="175"/>
      <c r="G9" s="437" t="str">
        <f>template_label_4_the_outcome_of_the_conversion_will_be_displayed_in_the_cell_d6</f>
        <v>4. The outcome of the conversion will be displayed in the cell D6.</v>
      </c>
    </row>
    <row r="10" spans="1:7" s="10" customFormat="1" ht="15" thickBot="1" x14ac:dyDescent="0.35">
      <c r="B10" s="190"/>
      <c r="D10" s="22"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35">
      <c r="B11" s="23"/>
      <c r="D11" s="23"/>
      <c r="G11" s="10" t="str">
        <f>template_label_below_are_specified_all_the_units_of_measurement_conversions_of_each_table</f>
        <v>Below are specified all the Units of measurement conversions of each table.</v>
      </c>
    </row>
    <row r="12" spans="1:7" s="10" customFormat="1" ht="15" customHeight="1" thickBot="1" x14ac:dyDescent="0.35">
      <c r="A12" s="1224" t="str">
        <f>template_label_unit_of_measurement_of_energy_consumption_per_hour</f>
        <v>Unit of measurement of Energy Consumption per Hour</v>
      </c>
      <c r="B12" s="1225"/>
      <c r="C12" s="1225"/>
      <c r="D12" s="1226"/>
      <c r="G12" s="396" t="str">
        <f>template_label_unit_of_measurement_of_mass_converter_list</f>
        <v>▪ Unit of measurement of Mass Converter:</v>
      </c>
    </row>
    <row r="13" spans="1:7" s="10" customFormat="1" ht="15" thickBot="1" x14ac:dyDescent="0.35">
      <c r="A13" s="43" t="str">
        <f>template_label_from_capital_case</f>
        <v xml:space="preserve">From </v>
      </c>
      <c r="B13" s="175"/>
      <c r="C13" s="44" t="str">
        <f>template_label_to</f>
        <v>to</v>
      </c>
      <c r="D13" s="175"/>
      <c r="G13" s="437" t="s">
        <v>4519</v>
      </c>
    </row>
    <row r="14" spans="1:7" s="10" customFormat="1" ht="15" thickBot="1" x14ac:dyDescent="0.35">
      <c r="B14" s="190"/>
      <c r="D14" s="21" t="str">
        <f>IF(OR(B13="",B14="",D13=""),"-",
IF(AND(B13="MWh - Megawatt hours",D13="MWh - Megawatt hours"),B14*1,
IF(AND(B13="TJ - Terajoule",D13="TJ - Terajoule"),B14*1,
IF(AND(B13="TJ - Terajoule",D13="MWh - Megawatt hours"),B14*277.778,
IF(AND(B13="MWh - Megawatt hours",D13="MWh - Megawatt hours"),B14/277.778,
"")))))</f>
        <v>-</v>
      </c>
      <c r="G14" s="437" t="s">
        <v>4520</v>
      </c>
    </row>
    <row r="15" spans="1:7" s="10" customFormat="1" ht="15" thickBot="1" x14ac:dyDescent="0.35">
      <c r="G15" s="437" t="s">
        <v>4521</v>
      </c>
    </row>
    <row r="16" spans="1:7" s="10" customFormat="1" ht="15" thickBot="1" x14ac:dyDescent="0.35">
      <c r="A16" s="1224" t="str">
        <f>template_label_unit_of_measurement_of_density_converter</f>
        <v>Unit of measurement of Density Converter</v>
      </c>
      <c r="B16" s="1225"/>
      <c r="C16" s="1225"/>
      <c r="D16" s="1226"/>
      <c r="G16" s="437" t="s">
        <v>4522</v>
      </c>
    </row>
    <row r="17" spans="1:7" s="10" customFormat="1" ht="15" thickBot="1" x14ac:dyDescent="0.35">
      <c r="A17" s="43" t="str">
        <f>template_label_from_capital_case</f>
        <v xml:space="preserve">From </v>
      </c>
      <c r="B17" s="175"/>
      <c r="C17" s="44" t="str">
        <f>template_label_to</f>
        <v>to</v>
      </c>
      <c r="D17" s="175"/>
      <c r="G17" s="396" t="str">
        <f>template_label_unit_of_measurement_of_volume_converter_list</f>
        <v>▪ Unit of measurement of Volume Converter:</v>
      </c>
    </row>
    <row r="18" spans="1:7" s="10" customFormat="1" ht="15" thickBot="1" x14ac:dyDescent="0.35">
      <c r="B18" s="190"/>
      <c r="D18" s="21" t="str">
        <f>IF(OR(B17="",B16="",D17=""), "-", B18 * INDEX('Fuel Conversion Parameters'!L2:S9, MATCH(B17, 'Fuel Conversion Parameters'!K2:K9, 0), MATCH(D17, 'Fuel Conversion Parameters'!L1:S1, 0)))</f>
        <v>-</v>
      </c>
      <c r="G18" s="437" t="s">
        <v>4523</v>
      </c>
    </row>
    <row r="19" spans="1:7" s="10" customFormat="1" ht="15" thickBot="1" x14ac:dyDescent="0.35">
      <c r="G19" s="437" t="s">
        <v>4524</v>
      </c>
    </row>
    <row r="20" spans="1:7" s="10" customFormat="1" ht="15" customHeight="1" thickBot="1" x14ac:dyDescent="0.35">
      <c r="A20" s="1224" t="str">
        <f>template_label_unit_of_measurement_of_ncv_converter</f>
        <v>Unit of measurement of NCV Converter</v>
      </c>
      <c r="B20" s="1225"/>
      <c r="C20" s="1225"/>
      <c r="D20" s="1226"/>
      <c r="G20" s="396" t="str">
        <f>template_label_unit_of_measurement_of_energy_converter_list</f>
        <v>▪ Unit of measurement of Energy Converter:</v>
      </c>
    </row>
    <row r="21" spans="1:7" s="10" customFormat="1" ht="15" thickBot="1" x14ac:dyDescent="0.35">
      <c r="A21" s="43" t="str">
        <f>template_label_from_capital_case</f>
        <v xml:space="preserve">From </v>
      </c>
      <c r="B21" s="175"/>
      <c r="C21" s="44" t="str">
        <f>template_label_to</f>
        <v>to</v>
      </c>
      <c r="D21" s="175"/>
      <c r="G21" s="437" t="s">
        <v>4525</v>
      </c>
    </row>
    <row r="22" spans="1:7" s="10" customFormat="1" ht="15" thickBot="1" x14ac:dyDescent="0.35">
      <c r="B22" s="190"/>
      <c r="D22" s="24" t="str">
        <f>IF(OR(B21="",B22="",D21=""), "-", B22 * INDEX('Fuel Conversion Parameters'!V2:AK13, MATCH(B21, 'Fuel Conversion Parameters'!U2:U13, 0), MATCH(D21, 'Fuel Conversion Parameters'!V1:AK1, 0)))</f>
        <v>-</v>
      </c>
      <c r="G22" s="437" t="s">
        <v>4526</v>
      </c>
    </row>
    <row r="23" spans="1:7" s="10" customFormat="1" x14ac:dyDescent="0.3">
      <c r="G23" s="396" t="str">
        <f>template_label_unit_of_measurement_of_density_converter_list</f>
        <v>▪ Unit of measurement of Density Converter:</v>
      </c>
    </row>
    <row r="24" spans="1:7" s="10" customFormat="1" x14ac:dyDescent="0.3">
      <c r="G24" s="437" t="s">
        <v>2940</v>
      </c>
    </row>
    <row r="25" spans="1:7" s="10" customFormat="1" x14ac:dyDescent="0.3">
      <c r="G25" s="437" t="s">
        <v>2941</v>
      </c>
    </row>
    <row r="26" spans="1:7" s="10" customFormat="1" x14ac:dyDescent="0.3">
      <c r="G26" s="437" t="s">
        <v>2942</v>
      </c>
    </row>
    <row r="27" spans="1:7" s="10" customFormat="1" x14ac:dyDescent="0.3">
      <c r="G27" s="437" t="s">
        <v>2943</v>
      </c>
    </row>
    <row r="28" spans="1:7" s="10" customFormat="1" x14ac:dyDescent="0.3">
      <c r="G28" s="437" t="s">
        <v>2944</v>
      </c>
    </row>
    <row r="29" spans="1:7" s="10" customFormat="1" x14ac:dyDescent="0.3">
      <c r="G29" s="437" t="s">
        <v>2945</v>
      </c>
    </row>
    <row r="30" spans="1:7" s="10" customFormat="1" x14ac:dyDescent="0.3">
      <c r="G30" s="437" t="s">
        <v>2946</v>
      </c>
    </row>
    <row r="31" spans="1:7" s="10" customFormat="1" x14ac:dyDescent="0.3">
      <c r="G31" s="437" t="s">
        <v>2947</v>
      </c>
    </row>
    <row r="32" spans="1:7" s="10" customFormat="1" x14ac:dyDescent="0.3">
      <c r="G32" s="396" t="str">
        <f>template_label_unit_of_measurement_of_ncv_converter_list</f>
        <v>▪ Unit of measurement of NCV Converter:</v>
      </c>
    </row>
    <row r="33" spans="7:7" s="10" customFormat="1" x14ac:dyDescent="0.3">
      <c r="G33" s="437" t="s">
        <v>2948</v>
      </c>
    </row>
    <row r="34" spans="7:7" s="10" customFormat="1" x14ac:dyDescent="0.3">
      <c r="G34" s="437" t="s">
        <v>2949</v>
      </c>
    </row>
    <row r="35" spans="7:7" s="10" customFormat="1" x14ac:dyDescent="0.3">
      <c r="G35" s="437" t="s">
        <v>2950</v>
      </c>
    </row>
    <row r="36" spans="7:7" s="10" customFormat="1" x14ac:dyDescent="0.3">
      <c r="G36" s="437" t="s">
        <v>2951</v>
      </c>
    </row>
    <row r="37" spans="7:7" s="10" customFormat="1" x14ac:dyDescent="0.3">
      <c r="G37" s="437" t="s">
        <v>3020</v>
      </c>
    </row>
    <row r="38" spans="7:7" s="10" customFormat="1" x14ac:dyDescent="0.3">
      <c r="G38" s="437" t="s">
        <v>3021</v>
      </c>
    </row>
    <row r="39" spans="7:7" s="10" customFormat="1" x14ac:dyDescent="0.3">
      <c r="G39" s="437" t="s">
        <v>3022</v>
      </c>
    </row>
    <row r="40" spans="7:7" s="10" customFormat="1" x14ac:dyDescent="0.3">
      <c r="G40" s="437" t="s">
        <v>3023</v>
      </c>
    </row>
    <row r="41" spans="7:7" s="10" customFormat="1" x14ac:dyDescent="0.3">
      <c r="G41" s="437" t="s">
        <v>2952</v>
      </c>
    </row>
    <row r="42" spans="7:7" s="10" customFormat="1" x14ac:dyDescent="0.3">
      <c r="G42" s="437" t="s">
        <v>2953</v>
      </c>
    </row>
    <row r="43" spans="7:7" s="10" customFormat="1" x14ac:dyDescent="0.3">
      <c r="G43" s="437" t="s">
        <v>2954</v>
      </c>
    </row>
    <row r="44" spans="7:7" s="10" customFormat="1" x14ac:dyDescent="0.3">
      <c r="G44" s="437" t="s">
        <v>2955</v>
      </c>
    </row>
    <row r="45" spans="7:7" s="10" customFormat="1" x14ac:dyDescent="0.3">
      <c r="G45" s="437" t="s">
        <v>2956</v>
      </c>
    </row>
    <row r="46" spans="7:7" s="10" customFormat="1" x14ac:dyDescent="0.3">
      <c r="G46" s="437" t="s">
        <v>2957</v>
      </c>
    </row>
    <row r="47" spans="7:7" s="10" customFormat="1" x14ac:dyDescent="0.3">
      <c r="G47" s="437" t="s">
        <v>2958</v>
      </c>
    </row>
    <row r="48" spans="7:7" s="10" customFormat="1" x14ac:dyDescent="0.3">
      <c r="G48" s="437" t="s">
        <v>2959</v>
      </c>
    </row>
    <row r="49" spans="7:7" s="10" customFormat="1" x14ac:dyDescent="0.3"/>
    <row r="50" spans="7:7" s="10" customFormat="1" x14ac:dyDescent="0.3">
      <c r="G50" s="436"/>
    </row>
    <row r="51" spans="7:7" s="10" customFormat="1" x14ac:dyDescent="0.3"/>
    <row r="52" spans="7:7" s="10" customFormat="1" x14ac:dyDescent="0.3">
      <c r="G52" s="436"/>
    </row>
    <row r="53" spans="7:7" s="10" customFormat="1" x14ac:dyDescent="0.3"/>
    <row r="54" spans="7:7" s="10" customFormat="1" x14ac:dyDescent="0.3">
      <c r="G54" s="436"/>
    </row>
    <row r="55" spans="7:7" s="10" customFormat="1" x14ac:dyDescent="0.3"/>
    <row r="56" spans="7:7" s="10" customFormat="1" x14ac:dyDescent="0.3">
      <c r="G56" s="436"/>
    </row>
    <row r="57" spans="7:7" s="10" customFormat="1" x14ac:dyDescent="0.3"/>
    <row r="58" spans="7:7" s="10" customFormat="1" x14ac:dyDescent="0.3">
      <c r="G58" s="436"/>
    </row>
    <row r="59" spans="7:7" s="10" customFormat="1" x14ac:dyDescent="0.3"/>
    <row r="60" spans="7:7" s="10" customFormat="1" x14ac:dyDescent="0.3">
      <c r="G60" s="436"/>
    </row>
    <row r="61" spans="7:7" s="10" customFormat="1" x14ac:dyDescent="0.3"/>
    <row r="62" spans="7:7" s="10" customFormat="1" x14ac:dyDescent="0.3">
      <c r="G62" s="436"/>
    </row>
    <row r="63" spans="7:7" s="10" customFormat="1" x14ac:dyDescent="0.3"/>
    <row r="64" spans="7:7" s="10" customFormat="1" x14ac:dyDescent="0.3">
      <c r="G64" s="436"/>
    </row>
    <row r="65" spans="7:7" s="10" customFormat="1" x14ac:dyDescent="0.3"/>
    <row r="66" spans="7:7" s="10" customFormat="1" x14ac:dyDescent="0.3">
      <c r="G66" s="436"/>
    </row>
    <row r="67" spans="7:7" s="10" customFormat="1" x14ac:dyDescent="0.3"/>
    <row r="68" spans="7:7" s="10" customFormat="1" x14ac:dyDescent="0.3">
      <c r="G68" s="436"/>
    </row>
    <row r="69" spans="7:7" s="10" customFormat="1" x14ac:dyDescent="0.3"/>
    <row r="70" spans="7:7" s="10" customFormat="1" x14ac:dyDescent="0.3"/>
    <row r="71" spans="7:7" s="10" customFormat="1" x14ac:dyDescent="0.3"/>
    <row r="72" spans="7:7" s="10" customFormat="1" x14ac:dyDescent="0.3"/>
    <row r="73" spans="7:7" s="10" customFormat="1" x14ac:dyDescent="0.3"/>
    <row r="74" spans="7:7" s="10" customFormat="1" x14ac:dyDescent="0.3"/>
    <row r="75" spans="7:7" s="10" customFormat="1" x14ac:dyDescent="0.3"/>
    <row r="76" spans="7:7" s="10" customFormat="1" x14ac:dyDescent="0.3"/>
    <row r="77" spans="7:7" s="10" customFormat="1" x14ac:dyDescent="0.3"/>
    <row r="78" spans="7:7" s="10" customFormat="1" x14ac:dyDescent="0.3"/>
    <row r="79" spans="7:7" s="10" customFormat="1" x14ac:dyDescent="0.3"/>
    <row r="80" spans="7:7"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sheetData>
  <sheetProtection algorithmName="SHA-512" hashValue="zs62C5jXcmTvMEoQRg4WZ+XEaYs4uphz5627FDauyYA4sIsiehXoM27SUesmYlUlyvAp+xGFGazWVh2f8DCiKw==" saltValue="j/SijdMsbjrk/XY7+1cXqQ==" spinCount="100000" sheet="1"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dimension ref="A1:A21"/>
  <sheetViews>
    <sheetView workbookViewId="0"/>
  </sheetViews>
  <sheetFormatPr defaultColWidth="8.88671875" defaultRowHeight="14.4" x14ac:dyDescent="0.3"/>
  <cols>
    <col min="1" max="1" width="78.33203125" style="10" customWidth="1"/>
    <col min="2" max="16384" width="8.88671875" style="10"/>
  </cols>
  <sheetData>
    <row r="1" spans="1:1" x14ac:dyDescent="0.3">
      <c r="A1" s="254" t="s">
        <v>3706</v>
      </c>
    </row>
    <row r="2" spans="1:1" x14ac:dyDescent="0.3">
      <c r="A2" s="255"/>
    </row>
    <row r="3" spans="1:1" x14ac:dyDescent="0.3">
      <c r="A3" s="255" t="s">
        <v>3707</v>
      </c>
    </row>
    <row r="4" spans="1:1" x14ac:dyDescent="0.3">
      <c r="A4" s="255"/>
    </row>
    <row r="5" spans="1:1" x14ac:dyDescent="0.3">
      <c r="A5" s="255" t="s">
        <v>3708</v>
      </c>
    </row>
    <row r="6" spans="1:1" x14ac:dyDescent="0.3">
      <c r="A6" s="255" t="s">
        <v>3709</v>
      </c>
    </row>
    <row r="7" spans="1:1" x14ac:dyDescent="0.3">
      <c r="A7" s="255" t="s">
        <v>3710</v>
      </c>
    </row>
    <row r="8" spans="1:1" x14ac:dyDescent="0.3">
      <c r="A8" s="255" t="s">
        <v>3711</v>
      </c>
    </row>
    <row r="9" spans="1:1" x14ac:dyDescent="0.3">
      <c r="A9" s="255" t="s">
        <v>3712</v>
      </c>
    </row>
    <row r="10" spans="1:1" x14ac:dyDescent="0.3">
      <c r="A10" s="255" t="s">
        <v>3713</v>
      </c>
    </row>
    <row r="11" spans="1:1" x14ac:dyDescent="0.3">
      <c r="A11" s="255"/>
    </row>
    <row r="12" spans="1:1" x14ac:dyDescent="0.3">
      <c r="A12" s="255" t="s">
        <v>3714</v>
      </c>
    </row>
    <row r="13" spans="1:1" x14ac:dyDescent="0.3">
      <c r="A13" s="255" t="s">
        <v>3715</v>
      </c>
    </row>
    <row r="14" spans="1:1" x14ac:dyDescent="0.3">
      <c r="A14" s="255"/>
    </row>
    <row r="15" spans="1:1" x14ac:dyDescent="0.3">
      <c r="A15" s="255" t="s">
        <v>3716</v>
      </c>
    </row>
    <row r="16" spans="1:1" x14ac:dyDescent="0.3">
      <c r="A16" s="255" t="s">
        <v>3717</v>
      </c>
    </row>
    <row r="17" spans="1:1" x14ac:dyDescent="0.3">
      <c r="A17" s="255" t="s">
        <v>3718</v>
      </c>
    </row>
    <row r="18" spans="1:1" x14ac:dyDescent="0.3">
      <c r="A18" s="255" t="s">
        <v>3719</v>
      </c>
    </row>
    <row r="19" spans="1:1" x14ac:dyDescent="0.3">
      <c r="A19" s="255" t="s">
        <v>3720</v>
      </c>
    </row>
    <row r="20" spans="1:1" x14ac:dyDescent="0.3">
      <c r="A20" s="255" t="s">
        <v>3721</v>
      </c>
    </row>
    <row r="21" spans="1:1" ht="15" thickBot="1" x14ac:dyDescent="0.35">
      <c r="A21" s="256" t="s">
        <v>3722</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Normal="100" workbookViewId="0"/>
  </sheetViews>
  <sheetFormatPr defaultColWidth="8.88671875" defaultRowHeight="14.4" x14ac:dyDescent="0.3"/>
  <cols>
    <col min="1" max="1" width="94.109375" customWidth="1"/>
    <col min="2" max="2" width="38.5546875" bestFit="1" customWidth="1"/>
    <col min="3" max="4" width="150.44140625" bestFit="1" customWidth="1"/>
    <col min="5" max="5" width="49.5546875" bestFit="1" customWidth="1"/>
    <col min="6" max="6" width="21.44140625" bestFit="1" customWidth="1"/>
    <col min="7" max="7" width="21.44140625" customWidth="1"/>
    <col min="8" max="8" width="92" bestFit="1" customWidth="1"/>
    <col min="9" max="9" width="49.44140625" bestFit="1" customWidth="1"/>
    <col min="10" max="10" width="44.44140625" customWidth="1"/>
    <col min="11" max="11" width="99.6640625" customWidth="1"/>
    <col min="12" max="12" width="48.44140625" bestFit="1" customWidth="1"/>
    <col min="13" max="13" width="20.44140625" bestFit="1" customWidth="1"/>
    <col min="14" max="14" width="18" bestFit="1" customWidth="1"/>
    <col min="15" max="15" width="30.5546875" bestFit="1" customWidth="1"/>
    <col min="16" max="16" width="26.5546875" bestFit="1" customWidth="1"/>
    <col min="17" max="17" width="10.5546875" customWidth="1"/>
    <col min="18" max="18" width="13.44140625" bestFit="1" customWidth="1"/>
    <col min="20" max="20" width="9.6640625" bestFit="1" customWidth="1"/>
    <col min="21" max="21" width="43.33203125" bestFit="1" customWidth="1"/>
    <col min="22" max="22" width="92" bestFit="1" customWidth="1"/>
    <col min="23" max="23" width="12.6640625" bestFit="1" customWidth="1"/>
    <col min="25" max="25" width="31.44140625" customWidth="1"/>
    <col min="26" max="26" width="255.44140625" bestFit="1" customWidth="1"/>
    <col min="27" max="27" width="17.44140625" customWidth="1"/>
    <col min="28" max="28" width="28.6640625" customWidth="1"/>
    <col min="29" max="29" width="23.33203125" customWidth="1"/>
    <col min="30" max="30" width="17.6640625" customWidth="1"/>
  </cols>
  <sheetData>
    <row r="1" spans="1:30" ht="72" x14ac:dyDescent="0.3">
      <c r="A1" s="316" t="s">
        <v>3574</v>
      </c>
      <c r="B1" s="317" t="s">
        <v>40</v>
      </c>
      <c r="C1" s="318" t="s">
        <v>3508</v>
      </c>
      <c r="D1" s="317" t="s">
        <v>2655</v>
      </c>
      <c r="E1" s="6" t="s">
        <v>41</v>
      </c>
      <c r="F1" s="6" t="s">
        <v>42</v>
      </c>
      <c r="G1" s="6" t="s">
        <v>2657</v>
      </c>
      <c r="H1" s="6" t="s">
        <v>3047</v>
      </c>
      <c r="I1" s="293" t="s">
        <v>3777</v>
      </c>
      <c r="J1" s="293" t="s">
        <v>2729</v>
      </c>
      <c r="K1" s="293" t="s">
        <v>4636</v>
      </c>
      <c r="L1" s="6" t="s">
        <v>2755</v>
      </c>
      <c r="M1" s="6" t="s">
        <v>2756</v>
      </c>
      <c r="N1" s="6" t="s">
        <v>16</v>
      </c>
      <c r="O1" s="6" t="s">
        <v>2890</v>
      </c>
      <c r="P1" s="6" t="s">
        <v>2899</v>
      </c>
      <c r="Q1" s="293" t="s">
        <v>2905</v>
      </c>
      <c r="R1" s="6" t="s">
        <v>2888</v>
      </c>
      <c r="S1" s="6" t="s">
        <v>3025</v>
      </c>
      <c r="T1" s="6" t="s">
        <v>3026</v>
      </c>
      <c r="U1" s="6" t="s">
        <v>3045</v>
      </c>
      <c r="V1" s="6" t="s">
        <v>3048</v>
      </c>
      <c r="W1" s="6" t="s">
        <v>3064</v>
      </c>
      <c r="X1" s="6" t="s">
        <v>3026</v>
      </c>
      <c r="Y1" s="319" t="s">
        <v>3070</v>
      </c>
      <c r="Z1" s="320" t="s">
        <v>3096</v>
      </c>
      <c r="AA1" s="319" t="s">
        <v>3560</v>
      </c>
      <c r="AB1" s="321" t="s">
        <v>3099</v>
      </c>
      <c r="AC1" s="11" t="s">
        <v>3677</v>
      </c>
      <c r="AD1" s="11" t="s">
        <v>3679</v>
      </c>
    </row>
    <row r="2" spans="1:30" x14ac:dyDescent="0.3">
      <c r="A2" s="322" t="s">
        <v>43</v>
      </c>
      <c r="B2" t="s">
        <v>2653</v>
      </c>
      <c r="C2" s="323" t="s">
        <v>3111</v>
      </c>
      <c r="D2" t="str">
        <f t="shared" ref="D2:D65" si="0">_xlfn.CONCAT("NACE ", A2)</f>
        <v>NACE All Economic Activities (NACE) / NA [member]</v>
      </c>
      <c r="E2" s="324" t="s">
        <v>44</v>
      </c>
      <c r="F2" t="s">
        <v>45</v>
      </c>
      <c r="G2" t="str">
        <f>RIGHT(F2,2)</f>
        <v>AD</v>
      </c>
      <c r="H2" t="s">
        <v>2656</v>
      </c>
      <c r="I2" t="s">
        <v>2728</v>
      </c>
      <c r="J2" t="s">
        <v>2730</v>
      </c>
      <c r="K2" t="s">
        <v>4637</v>
      </c>
      <c r="L2" t="s">
        <v>2751</v>
      </c>
      <c r="M2" t="s">
        <v>2757</v>
      </c>
      <c r="N2" t="s">
        <v>2877</v>
      </c>
      <c r="O2" t="s">
        <v>2891</v>
      </c>
      <c r="P2" t="s">
        <v>3552</v>
      </c>
      <c r="Q2" t="s">
        <v>2906</v>
      </c>
      <c r="R2" t="s">
        <v>2650</v>
      </c>
      <c r="S2">
        <v>2000</v>
      </c>
      <c r="T2">
        <v>1</v>
      </c>
      <c r="U2" t="s">
        <v>3575</v>
      </c>
      <c r="V2" t="s">
        <v>6464</v>
      </c>
      <c r="W2" s="325">
        <v>1</v>
      </c>
      <c r="X2" t="s">
        <v>3027</v>
      </c>
      <c r="Y2" t="s">
        <v>2757</v>
      </c>
      <c r="Z2" s="38" t="s">
        <v>2732</v>
      </c>
      <c r="AA2" t="s">
        <v>3778</v>
      </c>
      <c r="AB2" s="2" t="s">
        <v>3100</v>
      </c>
      <c r="AC2">
        <v>1</v>
      </c>
      <c r="AD2" t="s">
        <v>3680</v>
      </c>
    </row>
    <row r="3" spans="1:30" ht="28.8" x14ac:dyDescent="0.3">
      <c r="A3" s="324" t="s">
        <v>46</v>
      </c>
      <c r="B3" t="s">
        <v>47</v>
      </c>
      <c r="C3" s="326" t="s">
        <v>3112</v>
      </c>
      <c r="D3" s="324" t="str">
        <f t="shared" si="0"/>
        <v>NACE A - AGRICULTURE, FORESTRY AND FISHING</v>
      </c>
      <c r="E3" s="324" t="s">
        <v>48</v>
      </c>
      <c r="F3" t="s">
        <v>49</v>
      </c>
      <c r="G3" t="str">
        <f t="shared" ref="G3:G66" si="1">RIGHT(F3,2)</f>
        <v>AE</v>
      </c>
      <c r="H3" t="s">
        <v>6464</v>
      </c>
      <c r="I3" t="s">
        <v>2727</v>
      </c>
      <c r="J3" t="s">
        <v>2731</v>
      </c>
      <c r="K3" t="s">
        <v>4658</v>
      </c>
      <c r="L3" t="s">
        <v>2654</v>
      </c>
      <c r="M3" t="s">
        <v>2761</v>
      </c>
      <c r="N3" t="s">
        <v>2878</v>
      </c>
      <c r="O3" t="s">
        <v>2892</v>
      </c>
      <c r="P3" t="s">
        <v>3554</v>
      </c>
      <c r="Q3" t="s">
        <v>2907</v>
      </c>
      <c r="R3" t="s">
        <v>2651</v>
      </c>
      <c r="S3">
        <v>2001</v>
      </c>
      <c r="T3">
        <v>2</v>
      </c>
      <c r="U3" t="s">
        <v>3044</v>
      </c>
      <c r="V3" t="s">
        <v>6465</v>
      </c>
      <c r="W3" s="325">
        <v>2</v>
      </c>
      <c r="X3" t="s">
        <v>3028</v>
      </c>
      <c r="Y3" t="s">
        <v>2761</v>
      </c>
      <c r="Z3" t="s">
        <v>2764</v>
      </c>
      <c r="AA3" t="s">
        <v>3779</v>
      </c>
      <c r="AB3" s="2" t="s">
        <v>3101</v>
      </c>
      <c r="AC3">
        <v>2</v>
      </c>
      <c r="AD3" t="s">
        <v>3681</v>
      </c>
    </row>
    <row r="4" spans="1:30" x14ac:dyDescent="0.3">
      <c r="A4" s="323" t="s">
        <v>50</v>
      </c>
      <c r="B4" t="s">
        <v>51</v>
      </c>
      <c r="C4" s="326" t="s">
        <v>3113</v>
      </c>
      <c r="D4" s="323" t="str">
        <f t="shared" si="0"/>
        <v>NACE A - 01 Crop and animal production, hunting and related service activities</v>
      </c>
      <c r="E4" s="324" t="s">
        <v>52</v>
      </c>
      <c r="F4" t="s">
        <v>53</v>
      </c>
      <c r="G4" t="str">
        <f t="shared" si="1"/>
        <v>AF</v>
      </c>
      <c r="H4" t="s">
        <v>6465</v>
      </c>
      <c r="I4" t="s">
        <v>2726</v>
      </c>
      <c r="K4" t="s">
        <v>4659</v>
      </c>
      <c r="L4" t="s">
        <v>2752</v>
      </c>
      <c r="M4" t="s">
        <v>3553</v>
      </c>
      <c r="N4" t="s">
        <v>2879</v>
      </c>
      <c r="O4" t="s">
        <v>2893</v>
      </c>
      <c r="R4" t="s">
        <v>2908</v>
      </c>
      <c r="S4">
        <v>2002</v>
      </c>
      <c r="T4">
        <v>3</v>
      </c>
      <c r="V4" t="s">
        <v>6466</v>
      </c>
      <c r="W4" s="325">
        <v>3</v>
      </c>
      <c r="X4" t="s">
        <v>3029</v>
      </c>
      <c r="Z4" t="s">
        <v>2765</v>
      </c>
      <c r="AA4" t="s">
        <v>3780</v>
      </c>
      <c r="AC4">
        <v>3</v>
      </c>
      <c r="AD4" t="s">
        <v>3682</v>
      </c>
    </row>
    <row r="5" spans="1:30" x14ac:dyDescent="0.3">
      <c r="A5" s="326" t="s">
        <v>54</v>
      </c>
      <c r="B5" t="s">
        <v>55</v>
      </c>
      <c r="C5" s="326" t="s">
        <v>3114</v>
      </c>
      <c r="D5" s="326" t="str">
        <f t="shared" si="0"/>
        <v>NACE A - 01.1 Growing of non-perennial crops</v>
      </c>
      <c r="E5" s="324" t="s">
        <v>56</v>
      </c>
      <c r="F5" t="s">
        <v>57</v>
      </c>
      <c r="G5" t="str">
        <f t="shared" si="1"/>
        <v>AG</v>
      </c>
      <c r="H5" t="s">
        <v>6466</v>
      </c>
      <c r="I5" t="s">
        <v>2725</v>
      </c>
      <c r="K5" t="s">
        <v>4660</v>
      </c>
      <c r="L5" t="s">
        <v>2753</v>
      </c>
      <c r="O5" t="s">
        <v>2894</v>
      </c>
      <c r="S5">
        <v>2003</v>
      </c>
      <c r="T5">
        <v>4</v>
      </c>
      <c r="V5" t="s">
        <v>6467</v>
      </c>
      <c r="W5" s="325">
        <v>4</v>
      </c>
      <c r="X5" t="s">
        <v>3030</v>
      </c>
      <c r="Z5" t="s">
        <v>2766</v>
      </c>
      <c r="AA5" t="s">
        <v>3781</v>
      </c>
      <c r="AC5">
        <v>4</v>
      </c>
      <c r="AD5" t="s">
        <v>3683</v>
      </c>
    </row>
    <row r="6" spans="1:30" x14ac:dyDescent="0.3">
      <c r="A6" s="327" t="s">
        <v>58</v>
      </c>
      <c r="B6" t="s">
        <v>59</v>
      </c>
      <c r="C6" s="326" t="s">
        <v>3115</v>
      </c>
      <c r="D6" s="327" t="str">
        <f t="shared" si="0"/>
        <v>NACE A - 01.11 Growing of cereals, other than rice, leguminous crops and oil seeds</v>
      </c>
      <c r="E6" s="324" t="s">
        <v>60</v>
      </c>
      <c r="F6" t="s">
        <v>61</v>
      </c>
      <c r="G6" t="str">
        <f t="shared" si="1"/>
        <v>AI</v>
      </c>
      <c r="H6" t="s">
        <v>6467</v>
      </c>
      <c r="I6" t="s">
        <v>3509</v>
      </c>
      <c r="K6" t="s">
        <v>4661</v>
      </c>
      <c r="L6" t="s">
        <v>2754</v>
      </c>
      <c r="O6" t="s">
        <v>2895</v>
      </c>
      <c r="S6">
        <v>2004</v>
      </c>
      <c r="T6">
        <v>5</v>
      </c>
      <c r="V6" t="s">
        <v>6468</v>
      </c>
      <c r="W6" s="325">
        <v>5</v>
      </c>
      <c r="X6" t="s">
        <v>3031</v>
      </c>
      <c r="Z6" t="s">
        <v>2767</v>
      </c>
      <c r="AA6" t="s">
        <v>3782</v>
      </c>
      <c r="AC6">
        <v>5</v>
      </c>
    </row>
    <row r="7" spans="1:30" x14ac:dyDescent="0.3">
      <c r="A7" s="327" t="s">
        <v>62</v>
      </c>
      <c r="B7" t="s">
        <v>63</v>
      </c>
      <c r="C7" s="326" t="s">
        <v>3116</v>
      </c>
      <c r="D7" s="327" t="str">
        <f t="shared" si="0"/>
        <v>NACE A - 01.12 Growing of rice</v>
      </c>
      <c r="E7" s="324" t="s">
        <v>64</v>
      </c>
      <c r="F7" t="s">
        <v>65</v>
      </c>
      <c r="G7" t="str">
        <f t="shared" si="1"/>
        <v>AL</v>
      </c>
      <c r="H7" t="s">
        <v>6468</v>
      </c>
      <c r="I7" t="s">
        <v>2724</v>
      </c>
      <c r="K7" t="s">
        <v>4662</v>
      </c>
      <c r="O7" t="s">
        <v>2896</v>
      </c>
      <c r="S7">
        <v>2005</v>
      </c>
      <c r="T7">
        <v>6</v>
      </c>
      <c r="V7" t="s">
        <v>6469</v>
      </c>
      <c r="W7" s="325">
        <v>6</v>
      </c>
      <c r="X7" t="s">
        <v>3032</v>
      </c>
      <c r="Z7" t="s">
        <v>2768</v>
      </c>
      <c r="AA7" t="s">
        <v>3783</v>
      </c>
      <c r="AC7">
        <v>6</v>
      </c>
    </row>
    <row r="8" spans="1:30" x14ac:dyDescent="0.3">
      <c r="A8" s="327" t="s">
        <v>66</v>
      </c>
      <c r="B8" t="s">
        <v>67</v>
      </c>
      <c r="C8" s="326" t="s">
        <v>3117</v>
      </c>
      <c r="D8" s="327" t="str">
        <f t="shared" si="0"/>
        <v>NACE A - 01.13 Growing of vegetables and melons, roots and tubers</v>
      </c>
      <c r="E8" s="324" t="s">
        <v>68</v>
      </c>
      <c r="F8" t="s">
        <v>69</v>
      </c>
      <c r="G8" t="str">
        <f t="shared" si="1"/>
        <v>AM</v>
      </c>
      <c r="H8" t="s">
        <v>6469</v>
      </c>
      <c r="I8" t="s">
        <v>2723</v>
      </c>
      <c r="K8" t="s">
        <v>4663</v>
      </c>
      <c r="O8" t="s">
        <v>2652</v>
      </c>
      <c r="S8">
        <v>2006</v>
      </c>
      <c r="T8">
        <v>7</v>
      </c>
      <c r="V8" t="s">
        <v>6470</v>
      </c>
      <c r="W8" s="325">
        <v>7</v>
      </c>
      <c r="X8" t="s">
        <v>3033</v>
      </c>
      <c r="Z8" t="s">
        <v>2733</v>
      </c>
      <c r="AA8" t="s">
        <v>3784</v>
      </c>
      <c r="AC8">
        <v>7</v>
      </c>
    </row>
    <row r="9" spans="1:30" x14ac:dyDescent="0.3">
      <c r="A9" s="327" t="s">
        <v>70</v>
      </c>
      <c r="B9" t="s">
        <v>71</v>
      </c>
      <c r="C9" s="326" t="s">
        <v>3118</v>
      </c>
      <c r="D9" s="327" t="str">
        <f t="shared" si="0"/>
        <v>NACE A - 01.14 Growing of sugar cane</v>
      </c>
      <c r="E9" s="324" t="s">
        <v>72</v>
      </c>
      <c r="F9" t="s">
        <v>73</v>
      </c>
      <c r="G9" t="str">
        <f t="shared" si="1"/>
        <v>AN</v>
      </c>
      <c r="H9" t="s">
        <v>6470</v>
      </c>
      <c r="I9" t="s">
        <v>2722</v>
      </c>
      <c r="K9" t="s">
        <v>4664</v>
      </c>
      <c r="O9" t="s">
        <v>2897</v>
      </c>
      <c r="S9">
        <v>2007</v>
      </c>
      <c r="T9">
        <v>8</v>
      </c>
      <c r="V9" t="s">
        <v>6471</v>
      </c>
      <c r="W9" s="325">
        <v>8</v>
      </c>
      <c r="X9" t="s">
        <v>3034</v>
      </c>
      <c r="Z9" t="s">
        <v>2769</v>
      </c>
      <c r="AA9" t="s">
        <v>3785</v>
      </c>
      <c r="AC9">
        <v>8</v>
      </c>
    </row>
    <row r="10" spans="1:30" x14ac:dyDescent="0.3">
      <c r="A10" s="327" t="s">
        <v>74</v>
      </c>
      <c r="B10" t="s">
        <v>75</v>
      </c>
      <c r="C10" s="323" t="s">
        <v>3119</v>
      </c>
      <c r="D10" s="327" t="str">
        <f t="shared" si="0"/>
        <v>NACE A - 01.15 Growing of tobacco</v>
      </c>
      <c r="E10" s="324" t="s">
        <v>76</v>
      </c>
      <c r="F10" t="s">
        <v>77</v>
      </c>
      <c r="G10" t="str">
        <f t="shared" si="1"/>
        <v>AO</v>
      </c>
      <c r="H10" t="s">
        <v>6471</v>
      </c>
      <c r="I10" t="s">
        <v>2721</v>
      </c>
      <c r="K10" t="s">
        <v>4665</v>
      </c>
      <c r="O10" t="s">
        <v>2898</v>
      </c>
      <c r="S10">
        <v>2008</v>
      </c>
      <c r="T10">
        <v>9</v>
      </c>
      <c r="V10" t="s">
        <v>31</v>
      </c>
      <c r="W10" s="325">
        <v>9</v>
      </c>
      <c r="X10" t="s">
        <v>3035</v>
      </c>
      <c r="Z10" t="s">
        <v>2770</v>
      </c>
      <c r="AA10" t="s">
        <v>3786</v>
      </c>
      <c r="AC10">
        <v>9</v>
      </c>
    </row>
    <row r="11" spans="1:30" x14ac:dyDescent="0.3">
      <c r="A11" s="327" t="s">
        <v>78</v>
      </c>
      <c r="B11" t="s">
        <v>79</v>
      </c>
      <c r="C11" s="326" t="s">
        <v>3120</v>
      </c>
      <c r="D11" s="327" t="str">
        <f t="shared" si="0"/>
        <v>NACE A - 01.16 Growing of fibre crops</v>
      </c>
      <c r="E11" s="324" t="s">
        <v>80</v>
      </c>
      <c r="F11" t="s">
        <v>81</v>
      </c>
      <c r="G11" t="str">
        <f t="shared" si="1"/>
        <v>AQ</v>
      </c>
      <c r="H11" t="s">
        <v>31</v>
      </c>
      <c r="I11" t="s">
        <v>2720</v>
      </c>
      <c r="K11" t="s">
        <v>4666</v>
      </c>
      <c r="O11" t="s">
        <v>2889</v>
      </c>
      <c r="S11">
        <v>2009</v>
      </c>
      <c r="T11">
        <v>10</v>
      </c>
      <c r="V11" t="s">
        <v>6472</v>
      </c>
      <c r="W11" s="325">
        <v>10</v>
      </c>
      <c r="X11" t="s">
        <v>3036</v>
      </c>
      <c r="Z11" t="s">
        <v>2771</v>
      </c>
      <c r="AA11" t="s">
        <v>3787</v>
      </c>
      <c r="AC11">
        <v>10</v>
      </c>
    </row>
    <row r="12" spans="1:30" x14ac:dyDescent="0.3">
      <c r="A12" s="327" t="s">
        <v>82</v>
      </c>
      <c r="B12" t="s">
        <v>83</v>
      </c>
      <c r="C12" s="326" t="s">
        <v>3121</v>
      </c>
      <c r="D12" s="327" t="str">
        <f t="shared" si="0"/>
        <v>NACE A - 01.19 Growing of other non-perennial crops</v>
      </c>
      <c r="E12" s="324" t="s">
        <v>84</v>
      </c>
      <c r="F12" t="s">
        <v>85</v>
      </c>
      <c r="G12" t="str">
        <f t="shared" si="1"/>
        <v>AR</v>
      </c>
      <c r="H12" t="s">
        <v>6472</v>
      </c>
      <c r="I12" t="s">
        <v>3510</v>
      </c>
      <c r="K12" t="s">
        <v>4667</v>
      </c>
      <c r="O12" t="s">
        <v>28</v>
      </c>
      <c r="S12">
        <v>2010</v>
      </c>
      <c r="T12">
        <v>11</v>
      </c>
      <c r="V12" t="s">
        <v>38</v>
      </c>
      <c r="W12" s="325">
        <v>11</v>
      </c>
      <c r="X12" t="s">
        <v>3037</v>
      </c>
      <c r="Z12" t="s">
        <v>2772</v>
      </c>
      <c r="AA12" t="s">
        <v>3788</v>
      </c>
      <c r="AC12">
        <v>11</v>
      </c>
    </row>
    <row r="13" spans="1:30" x14ac:dyDescent="0.3">
      <c r="A13" s="326" t="s">
        <v>86</v>
      </c>
      <c r="B13" t="s">
        <v>87</v>
      </c>
      <c r="C13" s="326" t="s">
        <v>3122</v>
      </c>
      <c r="D13" s="326" t="str">
        <f t="shared" si="0"/>
        <v>NACE A - 01.2 Growing of perennial crops</v>
      </c>
      <c r="E13" s="324" t="s">
        <v>88</v>
      </c>
      <c r="F13" t="s">
        <v>89</v>
      </c>
      <c r="G13" t="str">
        <f t="shared" si="1"/>
        <v>AS</v>
      </c>
      <c r="H13" t="s">
        <v>38</v>
      </c>
      <c r="I13" t="s">
        <v>2719</v>
      </c>
      <c r="K13" t="s">
        <v>4668</v>
      </c>
      <c r="S13">
        <v>2011</v>
      </c>
      <c r="T13">
        <v>12</v>
      </c>
      <c r="V13" t="s">
        <v>12</v>
      </c>
      <c r="W13" s="325">
        <v>12</v>
      </c>
      <c r="X13" t="s">
        <v>3038</v>
      </c>
      <c r="Z13" t="s">
        <v>2773</v>
      </c>
      <c r="AA13" t="s">
        <v>3789</v>
      </c>
      <c r="AC13">
        <v>12</v>
      </c>
    </row>
    <row r="14" spans="1:30" x14ac:dyDescent="0.3">
      <c r="A14" s="327" t="s">
        <v>90</v>
      </c>
      <c r="B14" t="s">
        <v>91</v>
      </c>
      <c r="C14" s="326" t="s">
        <v>3123</v>
      </c>
      <c r="D14" s="327" t="str">
        <f t="shared" si="0"/>
        <v>NACE A - 01.21 Growing of grapes</v>
      </c>
      <c r="E14" s="324" t="s">
        <v>92</v>
      </c>
      <c r="F14" t="s">
        <v>93</v>
      </c>
      <c r="G14" t="str">
        <f t="shared" si="1"/>
        <v>AT</v>
      </c>
      <c r="H14" t="s">
        <v>12</v>
      </c>
      <c r="I14" t="s">
        <v>2718</v>
      </c>
      <c r="K14" t="s">
        <v>4669</v>
      </c>
      <c r="S14">
        <v>2012</v>
      </c>
      <c r="V14" t="s">
        <v>6473</v>
      </c>
      <c r="Z14" t="s">
        <v>2774</v>
      </c>
      <c r="AA14" t="s">
        <v>3790</v>
      </c>
      <c r="AC14">
        <v>13</v>
      </c>
    </row>
    <row r="15" spans="1:30" x14ac:dyDescent="0.3">
      <c r="A15" s="327" t="s">
        <v>94</v>
      </c>
      <c r="B15" t="s">
        <v>95</v>
      </c>
      <c r="C15" s="323" t="s">
        <v>3124</v>
      </c>
      <c r="D15" s="327" t="str">
        <f t="shared" si="0"/>
        <v>NACE A - 01.22 Growing of tropical and subtropical fruits</v>
      </c>
      <c r="E15" s="324" t="s">
        <v>96</v>
      </c>
      <c r="F15" t="s">
        <v>97</v>
      </c>
      <c r="G15" t="str">
        <f t="shared" si="1"/>
        <v>AU</v>
      </c>
      <c r="H15" t="s">
        <v>6473</v>
      </c>
      <c r="I15" t="s">
        <v>2717</v>
      </c>
      <c r="K15" t="s">
        <v>4670</v>
      </c>
      <c r="S15">
        <v>2013</v>
      </c>
      <c r="V15" t="s">
        <v>6474</v>
      </c>
      <c r="Z15" t="s">
        <v>2775</v>
      </c>
      <c r="AA15" t="s">
        <v>3791</v>
      </c>
      <c r="AC15">
        <v>14</v>
      </c>
    </row>
    <row r="16" spans="1:30" x14ac:dyDescent="0.3">
      <c r="A16" s="327" t="s">
        <v>98</v>
      </c>
      <c r="B16" t="s">
        <v>99</v>
      </c>
      <c r="C16" s="326" t="s">
        <v>3125</v>
      </c>
      <c r="D16" s="327" t="str">
        <f t="shared" si="0"/>
        <v>NACE A - 01.23 Growing of citrus fruits</v>
      </c>
      <c r="E16" s="324" t="s">
        <v>100</v>
      </c>
      <c r="F16" t="s">
        <v>101</v>
      </c>
      <c r="G16" t="str">
        <f t="shared" si="1"/>
        <v>AW</v>
      </c>
      <c r="H16" t="s">
        <v>6474</v>
      </c>
      <c r="I16" t="s">
        <v>2716</v>
      </c>
      <c r="K16" t="s">
        <v>4671</v>
      </c>
      <c r="S16">
        <v>2014</v>
      </c>
      <c r="V16" t="s">
        <v>20</v>
      </c>
      <c r="Z16" t="s">
        <v>2734</v>
      </c>
      <c r="AA16" t="s">
        <v>3792</v>
      </c>
      <c r="AC16">
        <v>15</v>
      </c>
    </row>
    <row r="17" spans="1:29" x14ac:dyDescent="0.3">
      <c r="A17" s="327" t="s">
        <v>102</v>
      </c>
      <c r="B17" t="s">
        <v>103</v>
      </c>
      <c r="C17" s="326" t="s">
        <v>3126</v>
      </c>
      <c r="D17" s="327" t="str">
        <f t="shared" si="0"/>
        <v>NACE A - 01.24 Growing of pome fruits and stone fruits</v>
      </c>
      <c r="E17" s="324" t="s">
        <v>104</v>
      </c>
      <c r="F17" t="s">
        <v>105</v>
      </c>
      <c r="G17" t="str">
        <f t="shared" si="1"/>
        <v>AX</v>
      </c>
      <c r="H17" t="s">
        <v>20</v>
      </c>
      <c r="I17" t="s">
        <v>2715</v>
      </c>
      <c r="K17" t="s">
        <v>4672</v>
      </c>
      <c r="S17">
        <v>2015</v>
      </c>
      <c r="V17" t="s">
        <v>33</v>
      </c>
      <c r="Z17" t="s">
        <v>2776</v>
      </c>
      <c r="AA17" t="s">
        <v>3793</v>
      </c>
      <c r="AC17">
        <v>16</v>
      </c>
    </row>
    <row r="18" spans="1:29" x14ac:dyDescent="0.3">
      <c r="A18" s="327" t="s">
        <v>106</v>
      </c>
      <c r="B18" t="s">
        <v>107</v>
      </c>
      <c r="C18" s="326" t="s">
        <v>3127</v>
      </c>
      <c r="D18" s="327" t="str">
        <f t="shared" si="0"/>
        <v>NACE A - 01.25 Growing of other tree and bush fruits and nuts</v>
      </c>
      <c r="E18" s="324" t="s">
        <v>108</v>
      </c>
      <c r="F18" t="s">
        <v>109</v>
      </c>
      <c r="G18" t="str">
        <f t="shared" si="1"/>
        <v>AZ</v>
      </c>
      <c r="H18" t="s">
        <v>33</v>
      </c>
      <c r="I18" t="s">
        <v>3524</v>
      </c>
      <c r="K18" t="s">
        <v>4673</v>
      </c>
      <c r="S18">
        <v>2016</v>
      </c>
      <c r="V18" t="s">
        <v>35</v>
      </c>
      <c r="Z18" t="s">
        <v>2777</v>
      </c>
      <c r="AA18" t="s">
        <v>3794</v>
      </c>
      <c r="AC18">
        <v>17</v>
      </c>
    </row>
    <row r="19" spans="1:29" x14ac:dyDescent="0.3">
      <c r="A19" s="327" t="s">
        <v>110</v>
      </c>
      <c r="B19" t="s">
        <v>111</v>
      </c>
      <c r="C19" s="324" t="s">
        <v>3110</v>
      </c>
      <c r="D19" s="327" t="str">
        <f t="shared" si="0"/>
        <v>NACE A - 01.26 Growing of oleaginous fruits</v>
      </c>
      <c r="E19" s="324" t="s">
        <v>112</v>
      </c>
      <c r="F19" t="s">
        <v>113</v>
      </c>
      <c r="G19" t="str">
        <f t="shared" si="1"/>
        <v>BA</v>
      </c>
      <c r="H19" t="s">
        <v>35</v>
      </c>
      <c r="I19" t="s">
        <v>3511</v>
      </c>
      <c r="K19" t="s">
        <v>4674</v>
      </c>
      <c r="S19">
        <v>2017</v>
      </c>
      <c r="V19" t="s">
        <v>37</v>
      </c>
      <c r="Z19" t="s">
        <v>2778</v>
      </c>
      <c r="AA19" t="s">
        <v>3795</v>
      </c>
      <c r="AC19">
        <v>18</v>
      </c>
    </row>
    <row r="20" spans="1:29" x14ac:dyDescent="0.3">
      <c r="A20" s="327" t="s">
        <v>114</v>
      </c>
      <c r="B20" t="s">
        <v>115</v>
      </c>
      <c r="C20" s="323" t="s">
        <v>3129</v>
      </c>
      <c r="D20" s="327" t="str">
        <f t="shared" si="0"/>
        <v>NACE A - 01.27 Growing of beverage crops</v>
      </c>
      <c r="E20" s="324" t="s">
        <v>116</v>
      </c>
      <c r="F20" t="s">
        <v>117</v>
      </c>
      <c r="G20" t="str">
        <f t="shared" si="1"/>
        <v>BB</v>
      </c>
      <c r="H20" t="s">
        <v>37</v>
      </c>
      <c r="I20" t="s">
        <v>2714</v>
      </c>
      <c r="K20" t="s">
        <v>4675</v>
      </c>
      <c r="S20">
        <v>2018</v>
      </c>
      <c r="V20" t="s">
        <v>6475</v>
      </c>
      <c r="Z20" t="s">
        <v>2735</v>
      </c>
      <c r="AA20" t="s">
        <v>3796</v>
      </c>
      <c r="AC20">
        <v>19</v>
      </c>
    </row>
    <row r="21" spans="1:29" x14ac:dyDescent="0.3">
      <c r="A21" s="327" t="s">
        <v>118</v>
      </c>
      <c r="B21" t="s">
        <v>119</v>
      </c>
      <c r="C21" s="323" t="s">
        <v>3132</v>
      </c>
      <c r="D21" s="327" t="str">
        <f t="shared" si="0"/>
        <v>NACE A - 01.28 Growing of spices, aromatic, drug and pharmaceutical crops</v>
      </c>
      <c r="E21" s="324" t="s">
        <v>120</v>
      </c>
      <c r="F21" t="s">
        <v>121</v>
      </c>
      <c r="G21" t="str">
        <f t="shared" si="1"/>
        <v>BD</v>
      </c>
      <c r="H21" t="s">
        <v>6475</v>
      </c>
      <c r="I21" t="s">
        <v>2713</v>
      </c>
      <c r="K21" t="s">
        <v>4676</v>
      </c>
      <c r="S21">
        <v>2019</v>
      </c>
      <c r="V21" t="s">
        <v>39</v>
      </c>
      <c r="Z21" t="s">
        <v>2779</v>
      </c>
      <c r="AA21" t="s">
        <v>3797</v>
      </c>
      <c r="AC21">
        <v>20</v>
      </c>
    </row>
    <row r="22" spans="1:29" x14ac:dyDescent="0.3">
      <c r="A22" s="327" t="s">
        <v>122</v>
      </c>
      <c r="B22" t="s">
        <v>123</v>
      </c>
      <c r="C22" s="326" t="s">
        <v>3130</v>
      </c>
      <c r="D22" s="327" t="str">
        <f t="shared" si="0"/>
        <v>NACE A - 01.29 Growing of other perennial crops</v>
      </c>
      <c r="E22" s="324" t="s">
        <v>124</v>
      </c>
      <c r="F22" t="s">
        <v>125</v>
      </c>
      <c r="G22" t="str">
        <f t="shared" si="1"/>
        <v>BE</v>
      </c>
      <c r="H22" t="s">
        <v>39</v>
      </c>
      <c r="I22" t="s">
        <v>2712</v>
      </c>
      <c r="K22" t="s">
        <v>4677</v>
      </c>
      <c r="S22">
        <v>2020</v>
      </c>
      <c r="V22" s="89"/>
      <c r="Z22" t="s">
        <v>2780</v>
      </c>
      <c r="AA22" t="s">
        <v>3798</v>
      </c>
      <c r="AC22">
        <v>21</v>
      </c>
    </row>
    <row r="23" spans="1:29" x14ac:dyDescent="0.3">
      <c r="A23" s="326" t="s">
        <v>126</v>
      </c>
      <c r="B23" t="s">
        <v>127</v>
      </c>
      <c r="C23" s="326" t="s">
        <v>3131</v>
      </c>
      <c r="D23" s="326" t="str">
        <f t="shared" si="0"/>
        <v>NACE A - 01.3 Plant propagation</v>
      </c>
      <c r="E23" s="324" t="s">
        <v>128</v>
      </c>
      <c r="F23" t="s">
        <v>129</v>
      </c>
      <c r="G23" t="str">
        <f t="shared" si="1"/>
        <v>BF</v>
      </c>
      <c r="H23" s="89"/>
      <c r="I23" t="s">
        <v>3512</v>
      </c>
      <c r="K23" t="s">
        <v>4678</v>
      </c>
      <c r="S23">
        <v>2021</v>
      </c>
      <c r="V23" s="462"/>
      <c r="Z23" t="s">
        <v>2736</v>
      </c>
      <c r="AA23" t="s">
        <v>3799</v>
      </c>
      <c r="AC23">
        <v>22</v>
      </c>
    </row>
    <row r="24" spans="1:29" x14ac:dyDescent="0.3">
      <c r="A24" s="327" t="s">
        <v>130</v>
      </c>
      <c r="B24" t="s">
        <v>131</v>
      </c>
      <c r="C24" s="323" t="s">
        <v>3135</v>
      </c>
      <c r="D24" s="327" t="str">
        <f t="shared" si="0"/>
        <v>NACE A - 01.30 Plant propagation</v>
      </c>
      <c r="E24" s="324" t="s">
        <v>132</v>
      </c>
      <c r="F24" t="s">
        <v>133</v>
      </c>
      <c r="G24" t="str">
        <f t="shared" si="1"/>
        <v>BG</v>
      </c>
      <c r="H24" s="462"/>
      <c r="I24" t="s">
        <v>3513</v>
      </c>
      <c r="K24" t="s">
        <v>4679</v>
      </c>
      <c r="S24">
        <v>2022</v>
      </c>
      <c r="V24" s="462"/>
      <c r="Z24" t="s">
        <v>2781</v>
      </c>
      <c r="AA24" t="s">
        <v>3800</v>
      </c>
      <c r="AC24">
        <v>23</v>
      </c>
    </row>
    <row r="25" spans="1:29" x14ac:dyDescent="0.3">
      <c r="A25" s="326" t="s">
        <v>134</v>
      </c>
      <c r="B25" t="s">
        <v>135</v>
      </c>
      <c r="C25" s="326" t="s">
        <v>3133</v>
      </c>
      <c r="D25" s="326" t="str">
        <f t="shared" si="0"/>
        <v>NACE A - 01.4 Animal production</v>
      </c>
      <c r="E25" s="324" t="s">
        <v>136</v>
      </c>
      <c r="F25" t="s">
        <v>137</v>
      </c>
      <c r="G25" t="str">
        <f t="shared" si="1"/>
        <v>BH</v>
      </c>
      <c r="H25" s="462"/>
      <c r="I25" t="s">
        <v>3525</v>
      </c>
      <c r="K25" t="s">
        <v>4680</v>
      </c>
      <c r="S25">
        <v>2023</v>
      </c>
      <c r="V25" s="462"/>
      <c r="Z25" t="s">
        <v>2782</v>
      </c>
      <c r="AA25" t="s">
        <v>3801</v>
      </c>
      <c r="AC25">
        <v>24</v>
      </c>
    </row>
    <row r="26" spans="1:29" x14ac:dyDescent="0.3">
      <c r="A26" s="327" t="s">
        <v>138</v>
      </c>
      <c r="B26" t="s">
        <v>139</v>
      </c>
      <c r="C26" s="326" t="s">
        <v>3134</v>
      </c>
      <c r="D26" s="327" t="str">
        <f t="shared" si="0"/>
        <v>NACE A - 01.41 Raising of dairy cattle</v>
      </c>
      <c r="E26" s="324" t="s">
        <v>140</v>
      </c>
      <c r="F26" t="s">
        <v>141</v>
      </c>
      <c r="G26" t="str">
        <f t="shared" si="1"/>
        <v>BI</v>
      </c>
      <c r="H26" s="462"/>
      <c r="I26" t="s">
        <v>2711</v>
      </c>
      <c r="K26" t="s">
        <v>4681</v>
      </c>
      <c r="S26">
        <v>2024</v>
      </c>
      <c r="V26" s="462"/>
      <c r="Z26" t="s">
        <v>2783</v>
      </c>
      <c r="AA26" t="s">
        <v>3802</v>
      </c>
      <c r="AC26">
        <v>25</v>
      </c>
    </row>
    <row r="27" spans="1:29" x14ac:dyDescent="0.3">
      <c r="A27" s="327" t="s">
        <v>142</v>
      </c>
      <c r="B27" t="s">
        <v>143</v>
      </c>
      <c r="C27" s="323" t="s">
        <v>3138</v>
      </c>
      <c r="D27" s="327" t="str">
        <f t="shared" si="0"/>
        <v>NACE A - 01.42 Raising of other cattle and buffaloes</v>
      </c>
      <c r="E27" s="324" t="s">
        <v>144</v>
      </c>
      <c r="F27" t="s">
        <v>145</v>
      </c>
      <c r="G27" t="str">
        <f t="shared" si="1"/>
        <v>BJ</v>
      </c>
      <c r="H27" s="462"/>
      <c r="I27" t="s">
        <v>2710</v>
      </c>
      <c r="K27" t="s">
        <v>4682</v>
      </c>
      <c r="S27">
        <v>2025</v>
      </c>
      <c r="V27" s="462"/>
      <c r="Z27" t="s">
        <v>2784</v>
      </c>
      <c r="AA27" t="s">
        <v>3803</v>
      </c>
      <c r="AC27">
        <v>26</v>
      </c>
    </row>
    <row r="28" spans="1:29" x14ac:dyDescent="0.3">
      <c r="A28" s="327" t="s">
        <v>146</v>
      </c>
      <c r="B28" t="s">
        <v>147</v>
      </c>
      <c r="C28" s="326" t="s">
        <v>3136</v>
      </c>
      <c r="D28" s="327" t="str">
        <f t="shared" si="0"/>
        <v>NACE A - 01.43 Raising of horses and other equines</v>
      </c>
      <c r="E28" s="324" t="s">
        <v>148</v>
      </c>
      <c r="F28" t="s">
        <v>149</v>
      </c>
      <c r="G28" t="str">
        <f t="shared" si="1"/>
        <v>BL</v>
      </c>
      <c r="H28" s="462"/>
      <c r="I28" t="s">
        <v>3527</v>
      </c>
      <c r="K28" t="s">
        <v>4683</v>
      </c>
      <c r="S28">
        <v>2026</v>
      </c>
      <c r="V28" s="462"/>
      <c r="Z28" t="s">
        <v>2785</v>
      </c>
      <c r="AA28" t="s">
        <v>3804</v>
      </c>
      <c r="AC28">
        <v>27</v>
      </c>
    </row>
    <row r="29" spans="1:29" x14ac:dyDescent="0.3">
      <c r="A29" s="327" t="s">
        <v>150</v>
      </c>
      <c r="B29" t="s">
        <v>151</v>
      </c>
      <c r="C29" s="326" t="s">
        <v>3137</v>
      </c>
      <c r="D29" s="327" t="str">
        <f t="shared" si="0"/>
        <v>NACE A - 01.44 Raising of camels and camelids</v>
      </c>
      <c r="E29" s="324" t="s">
        <v>152</v>
      </c>
      <c r="F29" t="s">
        <v>153</v>
      </c>
      <c r="G29" t="str">
        <f t="shared" si="1"/>
        <v>BM</v>
      </c>
      <c r="H29" s="462"/>
      <c r="I29" t="s">
        <v>2709</v>
      </c>
      <c r="K29" t="s">
        <v>4684</v>
      </c>
      <c r="S29">
        <v>2027</v>
      </c>
      <c r="V29" s="89"/>
      <c r="Z29" t="s">
        <v>2786</v>
      </c>
      <c r="AA29" t="s">
        <v>3805</v>
      </c>
      <c r="AC29">
        <v>28</v>
      </c>
    </row>
    <row r="30" spans="1:29" x14ac:dyDescent="0.3">
      <c r="A30" s="327" t="s">
        <v>154</v>
      </c>
      <c r="B30" t="s">
        <v>155</v>
      </c>
      <c r="C30" s="323" t="s">
        <v>3141</v>
      </c>
      <c r="D30" s="327" t="str">
        <f t="shared" si="0"/>
        <v>NACE A - 01.45 Raising of sheep and goats</v>
      </c>
      <c r="E30" s="324" t="s">
        <v>156</v>
      </c>
      <c r="F30" t="s">
        <v>157</v>
      </c>
      <c r="G30" t="str">
        <f t="shared" si="1"/>
        <v>BN</v>
      </c>
      <c r="H30" s="89"/>
      <c r="I30" t="s">
        <v>2708</v>
      </c>
      <c r="K30" t="s">
        <v>4685</v>
      </c>
      <c r="S30">
        <v>2028</v>
      </c>
      <c r="V30" s="462"/>
      <c r="Z30" t="s">
        <v>2787</v>
      </c>
      <c r="AA30" t="s">
        <v>3806</v>
      </c>
      <c r="AC30">
        <v>29</v>
      </c>
    </row>
    <row r="31" spans="1:29" x14ac:dyDescent="0.3">
      <c r="A31" s="327" t="s">
        <v>158</v>
      </c>
      <c r="B31" t="s">
        <v>159</v>
      </c>
      <c r="C31" s="326" t="s">
        <v>3139</v>
      </c>
      <c r="D31" s="327" t="str">
        <f t="shared" si="0"/>
        <v>NACE A - 01.46 Raising of swine and pigs</v>
      </c>
      <c r="E31" s="324" t="s">
        <v>160</v>
      </c>
      <c r="F31" t="s">
        <v>161</v>
      </c>
      <c r="G31" t="str">
        <f t="shared" si="1"/>
        <v>BO</v>
      </c>
      <c r="H31" s="462"/>
      <c r="I31" t="s">
        <v>2707</v>
      </c>
      <c r="K31" t="s">
        <v>4638</v>
      </c>
      <c r="S31">
        <v>2029</v>
      </c>
      <c r="V31" s="461"/>
      <c r="Z31" t="s">
        <v>2737</v>
      </c>
      <c r="AA31" t="s">
        <v>3807</v>
      </c>
      <c r="AC31">
        <v>30</v>
      </c>
    </row>
    <row r="32" spans="1:29" x14ac:dyDescent="0.3">
      <c r="A32" s="327" t="s">
        <v>162</v>
      </c>
      <c r="B32" t="s">
        <v>163</v>
      </c>
      <c r="C32" s="326" t="s">
        <v>3140</v>
      </c>
      <c r="D32" s="327" t="str">
        <f t="shared" si="0"/>
        <v>NACE A - 01.47 Raising of poultry</v>
      </c>
      <c r="E32" s="324" t="s">
        <v>164</v>
      </c>
      <c r="F32" t="s">
        <v>165</v>
      </c>
      <c r="G32" t="str">
        <f t="shared" si="1"/>
        <v>BQ</v>
      </c>
      <c r="H32" s="461"/>
      <c r="I32" t="s">
        <v>2706</v>
      </c>
      <c r="K32" t="s">
        <v>4686</v>
      </c>
      <c r="S32">
        <v>2030</v>
      </c>
      <c r="V32" s="461"/>
      <c r="Z32" t="s">
        <v>2788</v>
      </c>
      <c r="AA32" t="s">
        <v>3808</v>
      </c>
      <c r="AC32">
        <v>31</v>
      </c>
    </row>
    <row r="33" spans="1:27" x14ac:dyDescent="0.3">
      <c r="A33" s="327" t="s">
        <v>166</v>
      </c>
      <c r="B33" t="s">
        <v>167</v>
      </c>
      <c r="C33" s="326" t="s">
        <v>3142</v>
      </c>
      <c r="D33" s="327" t="str">
        <f t="shared" si="0"/>
        <v>NACE A - 01.48 Raising of other animals</v>
      </c>
      <c r="E33" s="324" t="s">
        <v>168</v>
      </c>
      <c r="F33" t="s">
        <v>169</v>
      </c>
      <c r="G33" t="str">
        <f t="shared" si="1"/>
        <v>BR</v>
      </c>
      <c r="H33" s="461"/>
      <c r="I33" t="s">
        <v>2705</v>
      </c>
      <c r="K33" t="s">
        <v>4687</v>
      </c>
      <c r="S33">
        <v>2031</v>
      </c>
      <c r="V33" s="461"/>
      <c r="Z33" t="s">
        <v>2789</v>
      </c>
      <c r="AA33" t="s">
        <v>3809</v>
      </c>
    </row>
    <row r="34" spans="1:27" x14ac:dyDescent="0.3">
      <c r="A34" s="326" t="s">
        <v>170</v>
      </c>
      <c r="B34" t="s">
        <v>171</v>
      </c>
      <c r="C34" s="326" t="s">
        <v>3143</v>
      </c>
      <c r="D34" s="326" t="str">
        <f t="shared" si="0"/>
        <v>NACE A - 01.5 Mixed farming</v>
      </c>
      <c r="E34" s="324" t="s">
        <v>172</v>
      </c>
      <c r="F34" t="s">
        <v>173</v>
      </c>
      <c r="G34" t="str">
        <f t="shared" si="1"/>
        <v>BS</v>
      </c>
      <c r="H34" s="461"/>
      <c r="I34" t="s">
        <v>2704</v>
      </c>
      <c r="K34" t="s">
        <v>4688</v>
      </c>
      <c r="S34">
        <v>2032</v>
      </c>
      <c r="V34" s="462"/>
      <c r="Z34" t="s">
        <v>2790</v>
      </c>
      <c r="AA34" t="s">
        <v>3810</v>
      </c>
    </row>
    <row r="35" spans="1:27" x14ac:dyDescent="0.3">
      <c r="A35" s="327" t="s">
        <v>174</v>
      </c>
      <c r="B35" t="s">
        <v>175</v>
      </c>
      <c r="C35" s="324" t="s">
        <v>3128</v>
      </c>
      <c r="D35" s="327" t="str">
        <f t="shared" si="0"/>
        <v>NACE A - 01.50 Mixed farming</v>
      </c>
      <c r="E35" s="324" t="s">
        <v>176</v>
      </c>
      <c r="F35" t="s">
        <v>177</v>
      </c>
      <c r="G35" t="str">
        <f t="shared" si="1"/>
        <v>BT</v>
      </c>
      <c r="H35" s="462"/>
      <c r="I35" t="s">
        <v>2703</v>
      </c>
      <c r="K35" t="s">
        <v>4689</v>
      </c>
      <c r="S35">
        <v>2033</v>
      </c>
      <c r="V35" s="462"/>
      <c r="Z35" t="s">
        <v>2791</v>
      </c>
      <c r="AA35" t="s">
        <v>3811</v>
      </c>
    </row>
    <row r="36" spans="1:27" x14ac:dyDescent="0.3">
      <c r="A36" s="326" t="s">
        <v>178</v>
      </c>
      <c r="B36" t="s">
        <v>179</v>
      </c>
      <c r="C36" s="323" t="s">
        <v>3145</v>
      </c>
      <c r="D36" s="326" t="str">
        <f t="shared" si="0"/>
        <v>NACE A - 01.6 Support activities to agriculture and post-harvest crop activities</v>
      </c>
      <c r="E36" s="324" t="s">
        <v>180</v>
      </c>
      <c r="F36" t="s">
        <v>181</v>
      </c>
      <c r="G36" t="str">
        <f t="shared" si="1"/>
        <v>BU</v>
      </c>
      <c r="H36" s="462"/>
      <c r="I36" t="s">
        <v>2702</v>
      </c>
      <c r="K36" t="s">
        <v>4690</v>
      </c>
      <c r="S36">
        <v>2034</v>
      </c>
      <c r="V36" s="462"/>
      <c r="Z36" t="s">
        <v>2792</v>
      </c>
      <c r="AA36" t="s">
        <v>3812</v>
      </c>
    </row>
    <row r="37" spans="1:27" x14ac:dyDescent="0.3">
      <c r="A37" s="327" t="s">
        <v>182</v>
      </c>
      <c r="B37" t="s">
        <v>183</v>
      </c>
      <c r="C37" s="326" t="s">
        <v>3146</v>
      </c>
      <c r="D37" s="327" t="str">
        <f t="shared" si="0"/>
        <v>NACE A - 01.61 Support activities for crop production</v>
      </c>
      <c r="E37" s="324" t="s">
        <v>184</v>
      </c>
      <c r="F37" t="s">
        <v>185</v>
      </c>
      <c r="G37" t="str">
        <f t="shared" si="1"/>
        <v>BV</v>
      </c>
      <c r="H37" s="462"/>
      <c r="I37" t="s">
        <v>2701</v>
      </c>
      <c r="K37" t="s">
        <v>4691</v>
      </c>
      <c r="S37">
        <v>2035</v>
      </c>
      <c r="V37" s="462"/>
      <c r="Z37" t="s">
        <v>2793</v>
      </c>
      <c r="AA37" t="s">
        <v>3813</v>
      </c>
    </row>
    <row r="38" spans="1:27" x14ac:dyDescent="0.3">
      <c r="A38" s="327" t="s">
        <v>186</v>
      </c>
      <c r="B38" t="s">
        <v>187</v>
      </c>
      <c r="C38" s="326" t="s">
        <v>3147</v>
      </c>
      <c r="D38" s="327" t="str">
        <f t="shared" si="0"/>
        <v>NACE A - 01.62 Support activities for animal production</v>
      </c>
      <c r="E38" s="324" t="s">
        <v>188</v>
      </c>
      <c r="F38" t="s">
        <v>189</v>
      </c>
      <c r="G38" t="str">
        <f t="shared" si="1"/>
        <v>BW</v>
      </c>
      <c r="H38" s="462"/>
      <c r="I38" t="s">
        <v>3526</v>
      </c>
      <c r="K38" t="s">
        <v>4692</v>
      </c>
      <c r="S38">
        <v>2036</v>
      </c>
      <c r="V38" s="462"/>
      <c r="Z38" t="s">
        <v>2794</v>
      </c>
      <c r="AA38" t="s">
        <v>3814</v>
      </c>
    </row>
    <row r="39" spans="1:27" x14ac:dyDescent="0.3">
      <c r="A39" s="327" t="s">
        <v>190</v>
      </c>
      <c r="B39" t="s">
        <v>191</v>
      </c>
      <c r="C39" s="326" t="s">
        <v>3148</v>
      </c>
      <c r="D39" s="327" t="str">
        <f t="shared" si="0"/>
        <v>NACE A - 01.63 Post-harvest crop activities and seed processing for propagation</v>
      </c>
      <c r="E39" s="324" t="s">
        <v>192</v>
      </c>
      <c r="F39" t="s">
        <v>193</v>
      </c>
      <c r="G39" t="str">
        <f t="shared" si="1"/>
        <v>BY</v>
      </c>
      <c r="H39" s="462"/>
      <c r="I39" t="s">
        <v>3514</v>
      </c>
      <c r="K39" t="s">
        <v>4693</v>
      </c>
      <c r="S39">
        <v>2037</v>
      </c>
      <c r="V39" s="462"/>
      <c r="Z39" t="s">
        <v>2795</v>
      </c>
      <c r="AA39" t="s">
        <v>3815</v>
      </c>
    </row>
    <row r="40" spans="1:27" x14ac:dyDescent="0.3">
      <c r="A40" s="326" t="s">
        <v>194</v>
      </c>
      <c r="B40" t="s">
        <v>195</v>
      </c>
      <c r="C40" s="326" t="s">
        <v>3149</v>
      </c>
      <c r="D40" s="326" t="str">
        <f t="shared" si="0"/>
        <v>NACE A - 01.7 Hunting, trapping and related service activities</v>
      </c>
      <c r="E40" s="324" t="s">
        <v>196</v>
      </c>
      <c r="F40" t="s">
        <v>197</v>
      </c>
      <c r="G40" t="str">
        <f t="shared" si="1"/>
        <v>BZ</v>
      </c>
      <c r="H40" s="462"/>
      <c r="I40" t="s">
        <v>3515</v>
      </c>
      <c r="K40" t="s">
        <v>4694</v>
      </c>
      <c r="S40">
        <v>2038</v>
      </c>
      <c r="V40" s="462"/>
      <c r="Z40" t="s">
        <v>2796</v>
      </c>
      <c r="AA40" t="s">
        <v>3816</v>
      </c>
    </row>
    <row r="41" spans="1:27" x14ac:dyDescent="0.3">
      <c r="A41" s="327" t="s">
        <v>198</v>
      </c>
      <c r="B41" t="s">
        <v>199</v>
      </c>
      <c r="C41" s="326" t="s">
        <v>3150</v>
      </c>
      <c r="D41" s="327" t="str">
        <f t="shared" si="0"/>
        <v>NACE A - 01.70 Hunting, trapping and related service activities</v>
      </c>
      <c r="E41" s="324" t="s">
        <v>200</v>
      </c>
      <c r="F41" t="s">
        <v>201</v>
      </c>
      <c r="G41" t="str">
        <f t="shared" si="1"/>
        <v>CA</v>
      </c>
      <c r="H41" s="462"/>
      <c r="I41" t="s">
        <v>2700</v>
      </c>
      <c r="K41" t="s">
        <v>4695</v>
      </c>
      <c r="S41">
        <v>2039</v>
      </c>
      <c r="V41" s="462"/>
      <c r="Z41" t="s">
        <v>2797</v>
      </c>
      <c r="AA41" t="s">
        <v>3817</v>
      </c>
    </row>
    <row r="42" spans="1:27" x14ac:dyDescent="0.3">
      <c r="A42" s="323" t="s">
        <v>202</v>
      </c>
      <c r="B42" t="s">
        <v>203</v>
      </c>
      <c r="C42" s="326" t="s">
        <v>3151</v>
      </c>
      <c r="D42" s="323" t="str">
        <f t="shared" si="0"/>
        <v>NACE A - 02 Forestry and logging</v>
      </c>
      <c r="E42" s="324" t="s">
        <v>204</v>
      </c>
      <c r="F42" t="s">
        <v>205</v>
      </c>
      <c r="G42" t="str">
        <f t="shared" si="1"/>
        <v>CC</v>
      </c>
      <c r="H42" s="462"/>
      <c r="I42" t="s">
        <v>2699</v>
      </c>
      <c r="K42" t="s">
        <v>4696</v>
      </c>
      <c r="S42">
        <v>2040</v>
      </c>
      <c r="V42" s="462"/>
      <c r="Z42" t="s">
        <v>2798</v>
      </c>
      <c r="AA42" t="s">
        <v>3818</v>
      </c>
    </row>
    <row r="43" spans="1:27" x14ac:dyDescent="0.3">
      <c r="A43" s="326" t="s">
        <v>206</v>
      </c>
      <c r="B43" t="s">
        <v>207</v>
      </c>
      <c r="C43" s="326" t="s">
        <v>3152</v>
      </c>
      <c r="D43" s="326" t="str">
        <f t="shared" si="0"/>
        <v>NACE A - 02.1 Silviculture and other forestry activities</v>
      </c>
      <c r="E43" s="324" t="s">
        <v>208</v>
      </c>
      <c r="F43" t="s">
        <v>209</v>
      </c>
      <c r="G43" t="str">
        <f t="shared" si="1"/>
        <v>CD</v>
      </c>
      <c r="H43" s="462"/>
      <c r="I43" t="s">
        <v>2698</v>
      </c>
      <c r="K43" t="s">
        <v>4697</v>
      </c>
      <c r="S43">
        <v>2041</v>
      </c>
      <c r="V43" s="462"/>
      <c r="Z43" t="s">
        <v>2799</v>
      </c>
      <c r="AA43" t="s">
        <v>3819</v>
      </c>
    </row>
    <row r="44" spans="1:27" x14ac:dyDescent="0.3">
      <c r="A44" s="327" t="s">
        <v>210</v>
      </c>
      <c r="B44" t="s">
        <v>211</v>
      </c>
      <c r="C44" s="326" t="s">
        <v>3153</v>
      </c>
      <c r="D44" s="327" t="str">
        <f t="shared" si="0"/>
        <v>NACE A - 02.10 Silviculture and other forestry activities</v>
      </c>
      <c r="E44" s="324" t="s">
        <v>212</v>
      </c>
      <c r="F44" t="s">
        <v>213</v>
      </c>
      <c r="G44" t="str">
        <f t="shared" si="1"/>
        <v>CF</v>
      </c>
      <c r="H44" s="462"/>
      <c r="I44" t="s">
        <v>2697</v>
      </c>
      <c r="K44" t="s">
        <v>4698</v>
      </c>
      <c r="S44">
        <v>2042</v>
      </c>
      <c r="V44" s="462"/>
      <c r="Z44" t="s">
        <v>2738</v>
      </c>
      <c r="AA44" t="s">
        <v>3820</v>
      </c>
    </row>
    <row r="45" spans="1:27" x14ac:dyDescent="0.3">
      <c r="A45" s="326" t="s">
        <v>214</v>
      </c>
      <c r="B45" t="s">
        <v>215</v>
      </c>
      <c r="C45" s="326" t="s">
        <v>3154</v>
      </c>
      <c r="D45" s="326" t="str">
        <f t="shared" si="0"/>
        <v>NACE A - 02.2 Logging</v>
      </c>
      <c r="E45" s="324" t="s">
        <v>216</v>
      </c>
      <c r="F45" t="s">
        <v>217</v>
      </c>
      <c r="G45" t="str">
        <f t="shared" si="1"/>
        <v>CG</v>
      </c>
      <c r="H45" s="462"/>
      <c r="I45" t="s">
        <v>2696</v>
      </c>
      <c r="K45" t="s">
        <v>4699</v>
      </c>
      <c r="S45">
        <v>2043</v>
      </c>
      <c r="V45" s="462"/>
      <c r="Z45" t="s">
        <v>2800</v>
      </c>
      <c r="AA45" t="s">
        <v>3821</v>
      </c>
    </row>
    <row r="46" spans="1:27" x14ac:dyDescent="0.3">
      <c r="A46" s="327" t="s">
        <v>218</v>
      </c>
      <c r="B46" t="s">
        <v>219</v>
      </c>
      <c r="C46" s="323" t="s">
        <v>3155</v>
      </c>
      <c r="D46" s="327" t="str">
        <f t="shared" si="0"/>
        <v>NACE A - 02.20 Logging</v>
      </c>
      <c r="E46" s="324" t="s">
        <v>220</v>
      </c>
      <c r="F46" t="s">
        <v>221</v>
      </c>
      <c r="G46" t="str">
        <f t="shared" si="1"/>
        <v>CH</v>
      </c>
      <c r="H46" s="462"/>
      <c r="I46" t="s">
        <v>3528</v>
      </c>
      <c r="K46" t="s">
        <v>4700</v>
      </c>
      <c r="S46">
        <v>2044</v>
      </c>
      <c r="V46" s="89"/>
      <c r="Z46" t="s">
        <v>2801</v>
      </c>
      <c r="AA46" t="s">
        <v>3822</v>
      </c>
    </row>
    <row r="47" spans="1:27" x14ac:dyDescent="0.3">
      <c r="A47" s="326" t="s">
        <v>222</v>
      </c>
      <c r="B47" t="s">
        <v>223</v>
      </c>
      <c r="C47" s="326" t="s">
        <v>3156</v>
      </c>
      <c r="D47" s="326" t="str">
        <f t="shared" si="0"/>
        <v>NACE A - 02.3 Gathering of wild growing non-wood products</v>
      </c>
      <c r="E47" s="324" t="s">
        <v>224</v>
      </c>
      <c r="F47" t="s">
        <v>225</v>
      </c>
      <c r="G47" t="str">
        <f t="shared" si="1"/>
        <v>CI</v>
      </c>
      <c r="H47" s="89"/>
      <c r="I47" t="s">
        <v>2695</v>
      </c>
      <c r="K47" t="s">
        <v>4701</v>
      </c>
      <c r="S47">
        <v>2045</v>
      </c>
      <c r="V47" s="462"/>
      <c r="Z47" t="s">
        <v>2802</v>
      </c>
      <c r="AA47" t="s">
        <v>3823</v>
      </c>
    </row>
    <row r="48" spans="1:27" x14ac:dyDescent="0.3">
      <c r="A48" s="327" t="s">
        <v>226</v>
      </c>
      <c r="B48" t="s">
        <v>227</v>
      </c>
      <c r="C48" s="323" t="s">
        <v>3157</v>
      </c>
      <c r="D48" s="327" t="str">
        <f t="shared" si="0"/>
        <v>NACE A - 02.30 Gathering of wild growing non-wood products</v>
      </c>
      <c r="E48" s="324" t="s">
        <v>228</v>
      </c>
      <c r="F48" t="s">
        <v>229</v>
      </c>
      <c r="G48" t="str">
        <f t="shared" si="1"/>
        <v>CK</v>
      </c>
      <c r="H48" s="462"/>
      <c r="I48" t="s">
        <v>2694</v>
      </c>
      <c r="K48" t="s">
        <v>4702</v>
      </c>
      <c r="S48">
        <v>2046</v>
      </c>
      <c r="V48" s="461"/>
      <c r="Z48" t="s">
        <v>2803</v>
      </c>
      <c r="AA48" t="s">
        <v>3824</v>
      </c>
    </row>
    <row r="49" spans="1:27" x14ac:dyDescent="0.3">
      <c r="A49" s="326" t="s">
        <v>230</v>
      </c>
      <c r="B49" t="s">
        <v>231</v>
      </c>
      <c r="C49" s="326" t="s">
        <v>3158</v>
      </c>
      <c r="D49" s="326" t="str">
        <f t="shared" si="0"/>
        <v>NACE A - 02.4 Support services to forestry</v>
      </c>
      <c r="E49" s="324" t="s">
        <v>232</v>
      </c>
      <c r="F49" t="s">
        <v>233</v>
      </c>
      <c r="G49" t="str">
        <f t="shared" si="1"/>
        <v>CL</v>
      </c>
      <c r="H49" s="461"/>
      <c r="I49" t="s">
        <v>2693</v>
      </c>
      <c r="K49" t="s">
        <v>4703</v>
      </c>
      <c r="S49">
        <v>2047</v>
      </c>
      <c r="V49" s="462"/>
      <c r="Z49" t="s">
        <v>2804</v>
      </c>
      <c r="AA49" t="s">
        <v>3825</v>
      </c>
    </row>
    <row r="50" spans="1:27" x14ac:dyDescent="0.3">
      <c r="A50" s="327" t="s">
        <v>234</v>
      </c>
      <c r="B50" t="s">
        <v>235</v>
      </c>
      <c r="C50" s="323" t="s">
        <v>3159</v>
      </c>
      <c r="D50" s="327" t="str">
        <f t="shared" si="0"/>
        <v>NACE A - 02.40 Support services to forestry</v>
      </c>
      <c r="E50" s="324" t="s">
        <v>236</v>
      </c>
      <c r="F50" t="s">
        <v>237</v>
      </c>
      <c r="G50" t="str">
        <f t="shared" si="1"/>
        <v>CM</v>
      </c>
      <c r="H50" s="462"/>
      <c r="I50" t="s">
        <v>2692</v>
      </c>
      <c r="K50" t="s">
        <v>4704</v>
      </c>
      <c r="S50">
        <v>2048</v>
      </c>
      <c r="V50" s="462"/>
      <c r="Z50" t="s">
        <v>2805</v>
      </c>
      <c r="AA50" t="s">
        <v>3826</v>
      </c>
    </row>
    <row r="51" spans="1:27" x14ac:dyDescent="0.3">
      <c r="A51" s="323" t="s">
        <v>238</v>
      </c>
      <c r="B51" t="s">
        <v>239</v>
      </c>
      <c r="C51" s="326" t="s">
        <v>3160</v>
      </c>
      <c r="D51" s="323" t="str">
        <f t="shared" si="0"/>
        <v>NACE A - 03 Fishing and aquaculture</v>
      </c>
      <c r="E51" s="324" t="s">
        <v>240</v>
      </c>
      <c r="F51" t="s">
        <v>241</v>
      </c>
      <c r="G51" t="str">
        <f t="shared" si="1"/>
        <v>CN</v>
      </c>
      <c r="H51" s="462"/>
      <c r="I51" t="s">
        <v>2691</v>
      </c>
      <c r="K51" t="s">
        <v>4705</v>
      </c>
      <c r="S51">
        <v>2049</v>
      </c>
      <c r="V51" s="462"/>
      <c r="Z51" t="s">
        <v>2806</v>
      </c>
      <c r="AA51" t="s">
        <v>3827</v>
      </c>
    </row>
    <row r="52" spans="1:27" x14ac:dyDescent="0.3">
      <c r="A52" s="326" t="s">
        <v>242</v>
      </c>
      <c r="B52" t="s">
        <v>243</v>
      </c>
      <c r="C52" s="326" t="s">
        <v>3161</v>
      </c>
      <c r="D52" s="326" t="str">
        <f t="shared" si="0"/>
        <v>NACE A - 03.1 Fishing</v>
      </c>
      <c r="E52" s="324" t="s">
        <v>244</v>
      </c>
      <c r="F52" t="s">
        <v>245</v>
      </c>
      <c r="G52" t="str">
        <f t="shared" si="1"/>
        <v>CO</v>
      </c>
      <c r="H52" s="462"/>
      <c r="I52" t="s">
        <v>3516</v>
      </c>
      <c r="K52" t="s">
        <v>4706</v>
      </c>
      <c r="S52">
        <v>2050</v>
      </c>
      <c r="V52" s="89"/>
      <c r="Z52" t="s">
        <v>2739</v>
      </c>
      <c r="AA52" t="s">
        <v>3828</v>
      </c>
    </row>
    <row r="53" spans="1:27" x14ac:dyDescent="0.3">
      <c r="A53" s="327" t="s">
        <v>246</v>
      </c>
      <c r="B53" t="s">
        <v>247</v>
      </c>
      <c r="C53" s="326" t="s">
        <v>3162</v>
      </c>
      <c r="D53" s="327" t="str">
        <f t="shared" si="0"/>
        <v>NACE A - 03.11 Marine fishing</v>
      </c>
      <c r="E53" s="324" t="s">
        <v>248</v>
      </c>
      <c r="F53" t="s">
        <v>249</v>
      </c>
      <c r="G53" t="str">
        <f t="shared" si="1"/>
        <v>CR</v>
      </c>
      <c r="H53" s="89"/>
      <c r="I53" t="s">
        <v>2690</v>
      </c>
      <c r="K53" t="s">
        <v>4707</v>
      </c>
      <c r="S53">
        <v>2051</v>
      </c>
      <c r="V53" s="462"/>
      <c r="Z53" t="s">
        <v>2807</v>
      </c>
      <c r="AA53" t="s">
        <v>3829</v>
      </c>
    </row>
    <row r="54" spans="1:27" x14ac:dyDescent="0.3">
      <c r="A54" s="327" t="s">
        <v>250</v>
      </c>
      <c r="B54" t="s">
        <v>251</v>
      </c>
      <c r="C54" s="326" t="s">
        <v>3163</v>
      </c>
      <c r="D54" s="327" t="str">
        <f t="shared" si="0"/>
        <v>NACE A - 03.12 Freshwater fishing</v>
      </c>
      <c r="E54" s="324" t="s">
        <v>252</v>
      </c>
      <c r="F54" t="s">
        <v>253</v>
      </c>
      <c r="G54" t="str">
        <f t="shared" si="1"/>
        <v>CS</v>
      </c>
      <c r="H54" s="462"/>
      <c r="I54" t="s">
        <v>3517</v>
      </c>
      <c r="K54" t="s">
        <v>4708</v>
      </c>
      <c r="S54">
        <v>2052</v>
      </c>
      <c r="V54" s="462"/>
      <c r="Z54" t="s">
        <v>2808</v>
      </c>
      <c r="AA54" t="s">
        <v>3830</v>
      </c>
    </row>
    <row r="55" spans="1:27" x14ac:dyDescent="0.3">
      <c r="A55" s="326" t="s">
        <v>254</v>
      </c>
      <c r="B55" t="s">
        <v>255</v>
      </c>
      <c r="C55" s="323" t="s">
        <v>3164</v>
      </c>
      <c r="D55" s="326" t="str">
        <f t="shared" si="0"/>
        <v>NACE A - 03.2 Aquaculture</v>
      </c>
      <c r="E55" s="324" t="s">
        <v>256</v>
      </c>
      <c r="F55" t="s">
        <v>257</v>
      </c>
      <c r="G55" t="str">
        <f t="shared" si="1"/>
        <v>CU</v>
      </c>
      <c r="H55" s="462"/>
      <c r="I55" t="s">
        <v>2689</v>
      </c>
      <c r="K55" t="s">
        <v>4709</v>
      </c>
      <c r="S55">
        <v>2053</v>
      </c>
      <c r="V55" s="462"/>
      <c r="Z55" t="s">
        <v>2809</v>
      </c>
      <c r="AA55" t="s">
        <v>3831</v>
      </c>
    </row>
    <row r="56" spans="1:27" x14ac:dyDescent="0.3">
      <c r="A56" s="327" t="s">
        <v>258</v>
      </c>
      <c r="B56" t="s">
        <v>259</v>
      </c>
      <c r="C56" s="326" t="s">
        <v>3165</v>
      </c>
      <c r="D56" s="327" t="str">
        <f t="shared" si="0"/>
        <v>NACE A - 03.21 Marine aquaculture</v>
      </c>
      <c r="E56" s="324" t="s">
        <v>260</v>
      </c>
      <c r="F56" t="s">
        <v>261</v>
      </c>
      <c r="G56" t="str">
        <f t="shared" si="1"/>
        <v>CV</v>
      </c>
      <c r="H56" s="462"/>
      <c r="I56" t="s">
        <v>2688</v>
      </c>
      <c r="K56" t="s">
        <v>4710</v>
      </c>
      <c r="S56">
        <v>2054</v>
      </c>
      <c r="V56" s="462"/>
      <c r="Z56" t="s">
        <v>2810</v>
      </c>
      <c r="AA56" t="s">
        <v>3832</v>
      </c>
    </row>
    <row r="57" spans="1:27" x14ac:dyDescent="0.3">
      <c r="A57" s="327" t="s">
        <v>262</v>
      </c>
      <c r="B57" t="s">
        <v>263</v>
      </c>
      <c r="C57" s="326" t="s">
        <v>3166</v>
      </c>
      <c r="D57" s="327" t="str">
        <f t="shared" si="0"/>
        <v>NACE A - 03.22 Freshwater aquaculture</v>
      </c>
      <c r="E57" s="324" t="s">
        <v>264</v>
      </c>
      <c r="F57" t="s">
        <v>265</v>
      </c>
      <c r="G57" t="str">
        <f t="shared" si="1"/>
        <v>CW</v>
      </c>
      <c r="H57" s="462"/>
      <c r="I57" t="s">
        <v>2687</v>
      </c>
      <c r="K57" t="s">
        <v>4711</v>
      </c>
      <c r="S57">
        <v>2055</v>
      </c>
      <c r="V57" s="462"/>
      <c r="Z57" t="s">
        <v>2811</v>
      </c>
      <c r="AA57" t="s">
        <v>3833</v>
      </c>
    </row>
    <row r="58" spans="1:27" x14ac:dyDescent="0.3">
      <c r="A58" s="326" t="s">
        <v>266</v>
      </c>
      <c r="B58" t="s">
        <v>267</v>
      </c>
      <c r="C58" s="323" t="s">
        <v>3167</v>
      </c>
      <c r="D58" s="326" t="str">
        <f t="shared" si="0"/>
        <v>NACE A - 03.3 Support activities for fishing and aquaculture</v>
      </c>
      <c r="E58" s="324" t="s">
        <v>268</v>
      </c>
      <c r="F58" t="s">
        <v>269</v>
      </c>
      <c r="G58" t="str">
        <f t="shared" si="1"/>
        <v>CX</v>
      </c>
      <c r="H58" s="462"/>
      <c r="I58" t="s">
        <v>3518</v>
      </c>
      <c r="K58" t="s">
        <v>4712</v>
      </c>
      <c r="S58">
        <v>2056</v>
      </c>
      <c r="V58" s="462"/>
      <c r="Z58" t="s">
        <v>2740</v>
      </c>
      <c r="AA58" t="s">
        <v>3834</v>
      </c>
    </row>
    <row r="59" spans="1:27" x14ac:dyDescent="0.3">
      <c r="A59" s="327" t="s">
        <v>270</v>
      </c>
      <c r="B59" t="s">
        <v>271</v>
      </c>
      <c r="C59" s="326" t="s">
        <v>3168</v>
      </c>
      <c r="D59" s="327" t="str">
        <f t="shared" si="0"/>
        <v>NACE A - 03.30 Support activities for fishing and aquaculture</v>
      </c>
      <c r="E59" s="324" t="s">
        <v>272</v>
      </c>
      <c r="F59" t="s">
        <v>273</v>
      </c>
      <c r="G59" t="str">
        <f t="shared" si="1"/>
        <v>CY</v>
      </c>
      <c r="H59" s="462"/>
      <c r="I59" t="s">
        <v>2686</v>
      </c>
      <c r="K59" t="s">
        <v>4713</v>
      </c>
      <c r="S59">
        <v>2057</v>
      </c>
      <c r="V59" s="462"/>
      <c r="Z59" t="s">
        <v>2812</v>
      </c>
      <c r="AA59" t="s">
        <v>3835</v>
      </c>
    </row>
    <row r="60" spans="1:27" x14ac:dyDescent="0.3">
      <c r="A60" s="324" t="s">
        <v>274</v>
      </c>
      <c r="B60" t="s">
        <v>275</v>
      </c>
      <c r="C60" s="326" t="s">
        <v>3169</v>
      </c>
      <c r="D60" s="324" t="str">
        <f t="shared" si="0"/>
        <v>NACE B - MINING AND QUARRYING</v>
      </c>
      <c r="E60" s="324" t="s">
        <v>276</v>
      </c>
      <c r="F60" t="s">
        <v>277</v>
      </c>
      <c r="G60" t="str">
        <f t="shared" si="1"/>
        <v>CZ</v>
      </c>
      <c r="H60" s="462"/>
      <c r="I60" t="s">
        <v>2685</v>
      </c>
      <c r="K60" t="s">
        <v>4714</v>
      </c>
      <c r="S60">
        <v>2058</v>
      </c>
      <c r="V60" s="89"/>
      <c r="Z60" t="s">
        <v>2741</v>
      </c>
      <c r="AA60" t="s">
        <v>3836</v>
      </c>
    </row>
    <row r="61" spans="1:27" x14ac:dyDescent="0.3">
      <c r="A61" s="323" t="s">
        <v>278</v>
      </c>
      <c r="B61" t="s">
        <v>279</v>
      </c>
      <c r="C61" s="327" t="s">
        <v>3170</v>
      </c>
      <c r="D61" s="323" t="str">
        <f t="shared" si="0"/>
        <v>NACE B - 04 Mining of coal and lignite</v>
      </c>
      <c r="E61" s="324" t="s">
        <v>280</v>
      </c>
      <c r="F61" t="s">
        <v>281</v>
      </c>
      <c r="G61" t="str">
        <f t="shared" si="1"/>
        <v>DE</v>
      </c>
      <c r="H61" s="89"/>
      <c r="I61" t="s">
        <v>2684</v>
      </c>
      <c r="K61" t="s">
        <v>4715</v>
      </c>
      <c r="S61">
        <v>2059</v>
      </c>
      <c r="V61" s="462"/>
      <c r="Z61" t="s">
        <v>2813</v>
      </c>
      <c r="AA61" t="s">
        <v>3837</v>
      </c>
    </row>
    <row r="62" spans="1:27" x14ac:dyDescent="0.3">
      <c r="A62" s="326" t="s">
        <v>282</v>
      </c>
      <c r="B62" t="s">
        <v>283</v>
      </c>
      <c r="C62" s="323" t="s">
        <v>3171</v>
      </c>
      <c r="D62" s="326" t="str">
        <f t="shared" si="0"/>
        <v>NACE B - 05.1 Mining of hard coal</v>
      </c>
      <c r="E62" s="324" t="s">
        <v>284</v>
      </c>
      <c r="F62" t="s">
        <v>285</v>
      </c>
      <c r="G62" t="str">
        <f t="shared" si="1"/>
        <v>DJ</v>
      </c>
      <c r="H62" s="462"/>
      <c r="I62" t="s">
        <v>2683</v>
      </c>
      <c r="K62" t="s">
        <v>4716</v>
      </c>
      <c r="S62">
        <v>2060</v>
      </c>
      <c r="V62" s="462"/>
      <c r="Z62" t="s">
        <v>2814</v>
      </c>
      <c r="AA62" t="s">
        <v>3838</v>
      </c>
    </row>
    <row r="63" spans="1:27" x14ac:dyDescent="0.3">
      <c r="A63" s="327" t="s">
        <v>286</v>
      </c>
      <c r="B63" t="s">
        <v>287</v>
      </c>
      <c r="C63" s="326" t="s">
        <v>3172</v>
      </c>
      <c r="D63" s="327" t="str">
        <f t="shared" si="0"/>
        <v>NACE B - 05.10 Mining of hard coal</v>
      </c>
      <c r="E63" s="324" t="s">
        <v>288</v>
      </c>
      <c r="F63" t="s">
        <v>289</v>
      </c>
      <c r="G63" t="str">
        <f t="shared" si="1"/>
        <v>DK</v>
      </c>
      <c r="H63" s="462"/>
      <c r="I63" t="s">
        <v>2682</v>
      </c>
      <c r="K63" t="s">
        <v>4717</v>
      </c>
      <c r="S63">
        <v>2061</v>
      </c>
      <c r="V63" s="462"/>
      <c r="Z63" t="s">
        <v>2815</v>
      </c>
      <c r="AA63" t="s">
        <v>3839</v>
      </c>
    </row>
    <row r="64" spans="1:27" x14ac:dyDescent="0.3">
      <c r="A64" s="326" t="s">
        <v>290</v>
      </c>
      <c r="B64" t="s">
        <v>291</v>
      </c>
      <c r="C64" s="326" t="s">
        <v>3173</v>
      </c>
      <c r="D64" s="326" t="str">
        <f t="shared" si="0"/>
        <v>NACE B - 05.2 Mining of lignite</v>
      </c>
      <c r="E64" s="324" t="s">
        <v>292</v>
      </c>
      <c r="F64" t="s">
        <v>293</v>
      </c>
      <c r="G64" t="str">
        <f t="shared" si="1"/>
        <v>DM</v>
      </c>
      <c r="H64" s="462"/>
      <c r="I64" t="s">
        <v>3519</v>
      </c>
      <c r="K64" t="s">
        <v>4718</v>
      </c>
      <c r="S64">
        <v>2062</v>
      </c>
      <c r="V64" s="462"/>
      <c r="Z64" t="s">
        <v>2816</v>
      </c>
      <c r="AA64" t="s">
        <v>3840</v>
      </c>
    </row>
    <row r="65" spans="1:27" x14ac:dyDescent="0.3">
      <c r="A65" s="327" t="s">
        <v>294</v>
      </c>
      <c r="B65" t="s">
        <v>295</v>
      </c>
      <c r="C65" s="323" t="s">
        <v>3174</v>
      </c>
      <c r="D65" s="327" t="str">
        <f t="shared" si="0"/>
        <v>NACE B - 05.20 Mining of lignite</v>
      </c>
      <c r="E65" s="324" t="s">
        <v>296</v>
      </c>
      <c r="F65" t="s">
        <v>297</v>
      </c>
      <c r="G65" t="str">
        <f t="shared" si="1"/>
        <v>DO</v>
      </c>
      <c r="H65" s="462"/>
      <c r="I65" t="s">
        <v>3068</v>
      </c>
      <c r="K65" t="s">
        <v>4719</v>
      </c>
      <c r="S65">
        <v>2063</v>
      </c>
      <c r="V65" s="89"/>
      <c r="Z65" t="s">
        <v>2817</v>
      </c>
      <c r="AA65" t="s">
        <v>3841</v>
      </c>
    </row>
    <row r="66" spans="1:27" x14ac:dyDescent="0.3">
      <c r="A66" s="323" t="s">
        <v>298</v>
      </c>
      <c r="B66" t="s">
        <v>299</v>
      </c>
      <c r="C66" s="326" t="s">
        <v>3175</v>
      </c>
      <c r="D66" s="323" t="str">
        <f t="shared" ref="D66:D129" si="2">_xlfn.CONCAT("NACE ", A66)</f>
        <v>NACE B - 05 Extraction of crude petroleum and natural gas</v>
      </c>
      <c r="E66" s="324" t="s">
        <v>300</v>
      </c>
      <c r="F66" t="s">
        <v>301</v>
      </c>
      <c r="G66" t="str">
        <f t="shared" si="1"/>
        <v>DZ</v>
      </c>
      <c r="H66" s="89"/>
      <c r="I66" t="s">
        <v>3520</v>
      </c>
      <c r="K66" t="s">
        <v>4720</v>
      </c>
      <c r="S66">
        <v>2064</v>
      </c>
      <c r="V66" s="462"/>
      <c r="Z66" t="s">
        <v>2818</v>
      </c>
      <c r="AA66" t="s">
        <v>3842</v>
      </c>
    </row>
    <row r="67" spans="1:27" x14ac:dyDescent="0.3">
      <c r="A67" s="326" t="s">
        <v>302</v>
      </c>
      <c r="B67" t="s">
        <v>303</v>
      </c>
      <c r="C67" s="326" t="s">
        <v>3176</v>
      </c>
      <c r="D67" s="326" t="str">
        <f t="shared" si="2"/>
        <v>NACE B - 06.1 Extraction of crude petroleum</v>
      </c>
      <c r="E67" s="324" t="s">
        <v>304</v>
      </c>
      <c r="F67" t="s">
        <v>305</v>
      </c>
      <c r="G67" t="str">
        <f t="shared" ref="G67:G130" si="3">RIGHT(F67,2)</f>
        <v>EC</v>
      </c>
      <c r="H67" s="462"/>
      <c r="I67" t="s">
        <v>2681</v>
      </c>
      <c r="K67" t="s">
        <v>4721</v>
      </c>
      <c r="S67">
        <v>2065</v>
      </c>
      <c r="V67" s="462"/>
      <c r="Z67" t="s">
        <v>2819</v>
      </c>
      <c r="AA67" t="s">
        <v>3843</v>
      </c>
    </row>
    <row r="68" spans="1:27" x14ac:dyDescent="0.3">
      <c r="A68" s="327" t="s">
        <v>306</v>
      </c>
      <c r="B68" t="s">
        <v>307</v>
      </c>
      <c r="C68" s="323" t="s">
        <v>3177</v>
      </c>
      <c r="D68" s="327" t="str">
        <f t="shared" si="2"/>
        <v>NACE B - 06.10 Extraction of crude petroleum</v>
      </c>
      <c r="E68" s="324" t="s">
        <v>308</v>
      </c>
      <c r="F68" t="s">
        <v>309</v>
      </c>
      <c r="G68" t="str">
        <f t="shared" si="3"/>
        <v>EE</v>
      </c>
      <c r="H68" s="462"/>
      <c r="I68" t="s">
        <v>2680</v>
      </c>
      <c r="K68" t="s">
        <v>4722</v>
      </c>
      <c r="S68">
        <v>2066</v>
      </c>
      <c r="V68" s="461"/>
      <c r="Z68" t="s">
        <v>2820</v>
      </c>
      <c r="AA68" t="s">
        <v>3844</v>
      </c>
    </row>
    <row r="69" spans="1:27" x14ac:dyDescent="0.3">
      <c r="A69" s="326" t="s">
        <v>310</v>
      </c>
      <c r="B69" t="s">
        <v>311</v>
      </c>
      <c r="C69" s="326" t="s">
        <v>3178</v>
      </c>
      <c r="D69" s="326" t="str">
        <f t="shared" si="2"/>
        <v>NACE B - 06.2 Extraction of natural gas</v>
      </c>
      <c r="E69" s="324" t="s">
        <v>312</v>
      </c>
      <c r="F69" t="s">
        <v>313</v>
      </c>
      <c r="G69" t="str">
        <f t="shared" si="3"/>
        <v>EG</v>
      </c>
      <c r="H69" s="461"/>
      <c r="I69" t="s">
        <v>2679</v>
      </c>
      <c r="K69" t="s">
        <v>4723</v>
      </c>
      <c r="S69">
        <v>2067</v>
      </c>
      <c r="V69" s="461"/>
      <c r="Z69" t="s">
        <v>2821</v>
      </c>
      <c r="AA69" t="s">
        <v>3845</v>
      </c>
    </row>
    <row r="70" spans="1:27" x14ac:dyDescent="0.3">
      <c r="A70" s="327" t="s">
        <v>314</v>
      </c>
      <c r="B70" t="s">
        <v>315</v>
      </c>
      <c r="C70" s="326" t="s">
        <v>3179</v>
      </c>
      <c r="D70" s="327" t="str">
        <f t="shared" si="2"/>
        <v>NACE B - 06.20 Extraction of natural gas</v>
      </c>
      <c r="E70" s="324" t="s">
        <v>316</v>
      </c>
      <c r="F70" t="s">
        <v>317</v>
      </c>
      <c r="G70" t="str">
        <f t="shared" si="3"/>
        <v>EH</v>
      </c>
      <c r="H70" s="461"/>
      <c r="I70" t="s">
        <v>2678</v>
      </c>
      <c r="K70" t="s">
        <v>4724</v>
      </c>
      <c r="S70">
        <v>2068</v>
      </c>
      <c r="V70" s="461"/>
      <c r="Z70" t="s">
        <v>2822</v>
      </c>
      <c r="AA70" t="s">
        <v>3846</v>
      </c>
    </row>
    <row r="71" spans="1:27" x14ac:dyDescent="0.3">
      <c r="A71" s="323" t="s">
        <v>318</v>
      </c>
      <c r="B71" t="s">
        <v>319</v>
      </c>
      <c r="C71" s="323" t="s">
        <v>3180</v>
      </c>
      <c r="D71" s="323" t="str">
        <f t="shared" si="2"/>
        <v>NACE B - 06 Mining of metal ores</v>
      </c>
      <c r="E71" s="324" t="s">
        <v>320</v>
      </c>
      <c r="F71" t="s">
        <v>321</v>
      </c>
      <c r="G71" t="str">
        <f t="shared" si="3"/>
        <v>ER</v>
      </c>
      <c r="H71" s="461"/>
      <c r="I71" t="s">
        <v>2677</v>
      </c>
      <c r="K71" t="s">
        <v>4725</v>
      </c>
      <c r="S71">
        <v>2069</v>
      </c>
      <c r="V71" s="461"/>
      <c r="Z71" t="s">
        <v>2823</v>
      </c>
      <c r="AA71" t="s">
        <v>3847</v>
      </c>
    </row>
    <row r="72" spans="1:27" x14ac:dyDescent="0.3">
      <c r="A72" s="326" t="s">
        <v>322</v>
      </c>
      <c r="B72" t="s">
        <v>323</v>
      </c>
      <c r="C72" s="326" t="s">
        <v>3181</v>
      </c>
      <c r="D72" s="326" t="str">
        <f t="shared" si="2"/>
        <v>NACE B - 07.1 Mining of iron ores</v>
      </c>
      <c r="E72" s="324" t="s">
        <v>324</v>
      </c>
      <c r="F72" t="s">
        <v>325</v>
      </c>
      <c r="G72" t="str">
        <f t="shared" si="3"/>
        <v>ES</v>
      </c>
      <c r="H72" s="461"/>
      <c r="I72" t="s">
        <v>3521</v>
      </c>
      <c r="K72" t="s">
        <v>4726</v>
      </c>
      <c r="S72">
        <v>2070</v>
      </c>
      <c r="V72" s="461"/>
      <c r="Z72" t="s">
        <v>2824</v>
      </c>
      <c r="AA72" t="s">
        <v>3848</v>
      </c>
    </row>
    <row r="73" spans="1:27" x14ac:dyDescent="0.3">
      <c r="A73" s="327" t="s">
        <v>326</v>
      </c>
      <c r="B73" t="s">
        <v>327</v>
      </c>
      <c r="C73" s="326" t="s">
        <v>3182</v>
      </c>
      <c r="D73" s="327" t="str">
        <f t="shared" si="2"/>
        <v>NACE B - 07.10 Mining of iron ores</v>
      </c>
      <c r="E73" s="324" t="s">
        <v>328</v>
      </c>
      <c r="F73" t="s">
        <v>329</v>
      </c>
      <c r="G73" t="str">
        <f t="shared" si="3"/>
        <v>ET</v>
      </c>
      <c r="H73" s="461"/>
      <c r="I73" t="s">
        <v>2676</v>
      </c>
      <c r="K73" t="s">
        <v>4727</v>
      </c>
      <c r="S73">
        <v>2071</v>
      </c>
      <c r="V73" s="461"/>
      <c r="Z73" t="s">
        <v>2825</v>
      </c>
      <c r="AA73" t="s">
        <v>3849</v>
      </c>
    </row>
    <row r="74" spans="1:27" x14ac:dyDescent="0.3">
      <c r="A74" s="326" t="s">
        <v>330</v>
      </c>
      <c r="B74" t="s">
        <v>331</v>
      </c>
      <c r="C74" s="323" t="s">
        <v>3183</v>
      </c>
      <c r="D74" s="326" t="str">
        <f t="shared" si="2"/>
        <v>NACE B - 07.2 Mining of non-ferrous metal ores</v>
      </c>
      <c r="E74" s="324" t="s">
        <v>332</v>
      </c>
      <c r="F74" t="s">
        <v>333</v>
      </c>
      <c r="G74" t="str">
        <f t="shared" si="3"/>
        <v>FI</v>
      </c>
      <c r="H74" s="461"/>
      <c r="I74" t="s">
        <v>2675</v>
      </c>
      <c r="K74" t="s">
        <v>4728</v>
      </c>
      <c r="S74">
        <v>2072</v>
      </c>
      <c r="V74" s="462"/>
      <c r="Z74" t="s">
        <v>2742</v>
      </c>
      <c r="AA74" t="s">
        <v>3850</v>
      </c>
    </row>
    <row r="75" spans="1:27" x14ac:dyDescent="0.3">
      <c r="A75" s="327" t="s">
        <v>334</v>
      </c>
      <c r="B75" t="s">
        <v>335</v>
      </c>
      <c r="C75" s="326" t="s">
        <v>3184</v>
      </c>
      <c r="D75" s="327" t="str">
        <f t="shared" si="2"/>
        <v>NACE B - 07.21 Mining of uranium and thorium ores</v>
      </c>
      <c r="E75" s="324" t="s">
        <v>336</v>
      </c>
      <c r="F75" t="s">
        <v>337</v>
      </c>
      <c r="G75" t="str">
        <f t="shared" si="3"/>
        <v>FJ</v>
      </c>
      <c r="H75" s="462"/>
      <c r="I75" t="s">
        <v>2674</v>
      </c>
      <c r="K75" t="s">
        <v>4729</v>
      </c>
      <c r="S75">
        <v>2073</v>
      </c>
      <c r="V75" s="462"/>
      <c r="Z75" t="s">
        <v>2826</v>
      </c>
      <c r="AA75" t="s">
        <v>3851</v>
      </c>
    </row>
    <row r="76" spans="1:27" x14ac:dyDescent="0.3">
      <c r="A76" s="327" t="s">
        <v>338</v>
      </c>
      <c r="B76" t="s">
        <v>339</v>
      </c>
      <c r="C76" s="326" t="s">
        <v>3185</v>
      </c>
      <c r="D76" s="327" t="str">
        <f t="shared" si="2"/>
        <v>NACE B - 07.29 Mining of other non-ferrous metal ores</v>
      </c>
      <c r="E76" s="324" t="s">
        <v>340</v>
      </c>
      <c r="F76" t="s">
        <v>341</v>
      </c>
      <c r="G76" t="str">
        <f t="shared" si="3"/>
        <v>FK</v>
      </c>
      <c r="H76" s="462"/>
      <c r="I76" t="s">
        <v>2673</v>
      </c>
      <c r="K76" t="s">
        <v>4730</v>
      </c>
      <c r="S76">
        <v>2074</v>
      </c>
      <c r="V76" s="462"/>
      <c r="Z76" t="s">
        <v>2827</v>
      </c>
      <c r="AA76" t="s">
        <v>3852</v>
      </c>
    </row>
    <row r="77" spans="1:27" x14ac:dyDescent="0.3">
      <c r="A77" s="323" t="s">
        <v>342</v>
      </c>
      <c r="B77" t="s">
        <v>343</v>
      </c>
      <c r="C77" s="326" t="s">
        <v>3186</v>
      </c>
      <c r="D77" s="323" t="str">
        <f t="shared" si="2"/>
        <v>NACE B - 07 Other mining and quarrying</v>
      </c>
      <c r="E77" s="324" t="s">
        <v>344</v>
      </c>
      <c r="F77" t="s">
        <v>345</v>
      </c>
      <c r="G77" t="str">
        <f t="shared" si="3"/>
        <v>FM</v>
      </c>
      <c r="H77" s="462"/>
      <c r="I77" t="s">
        <v>2672</v>
      </c>
      <c r="K77" t="s">
        <v>4639</v>
      </c>
      <c r="S77">
        <v>2075</v>
      </c>
      <c r="V77" s="462"/>
      <c r="Z77" t="s">
        <v>2828</v>
      </c>
      <c r="AA77" t="s">
        <v>3853</v>
      </c>
    </row>
    <row r="78" spans="1:27" x14ac:dyDescent="0.3">
      <c r="A78" s="326" t="s">
        <v>346</v>
      </c>
      <c r="B78" t="s">
        <v>347</v>
      </c>
      <c r="C78" s="326" t="s">
        <v>3187</v>
      </c>
      <c r="D78" s="326" t="str">
        <f t="shared" si="2"/>
        <v>NACE B - 08.1 Quarrying of stone, sand and clay</v>
      </c>
      <c r="E78" s="324" t="s">
        <v>348</v>
      </c>
      <c r="F78" t="s">
        <v>349</v>
      </c>
      <c r="G78" t="str">
        <f t="shared" si="3"/>
        <v>FO</v>
      </c>
      <c r="H78" s="462"/>
      <c r="I78" t="s">
        <v>2671</v>
      </c>
      <c r="K78" t="s">
        <v>4731</v>
      </c>
      <c r="S78">
        <v>2076</v>
      </c>
      <c r="V78" s="462"/>
      <c r="Z78" t="s">
        <v>2829</v>
      </c>
      <c r="AA78" t="s">
        <v>3854</v>
      </c>
    </row>
    <row r="79" spans="1:27" x14ac:dyDescent="0.3">
      <c r="A79" s="327" t="s">
        <v>350</v>
      </c>
      <c r="B79" t="s">
        <v>351</v>
      </c>
      <c r="C79" s="326" t="s">
        <v>3188</v>
      </c>
      <c r="D79" s="327" t="str">
        <f t="shared" si="2"/>
        <v>NACE B - 08.11 Quarrying of ornamental stone, limestone, gypsum, slate and other stone</v>
      </c>
      <c r="E79" s="324" t="s">
        <v>352</v>
      </c>
      <c r="F79" t="s">
        <v>353</v>
      </c>
      <c r="G79" t="str">
        <f t="shared" si="3"/>
        <v>FR</v>
      </c>
      <c r="H79" s="462"/>
      <c r="I79" t="s">
        <v>2670</v>
      </c>
      <c r="K79" t="s">
        <v>4732</v>
      </c>
      <c r="S79">
        <v>2077</v>
      </c>
      <c r="V79" s="462"/>
      <c r="Z79" t="s">
        <v>2743</v>
      </c>
      <c r="AA79" t="s">
        <v>3855</v>
      </c>
    </row>
    <row r="80" spans="1:27" x14ac:dyDescent="0.3">
      <c r="A80" s="327" t="s">
        <v>354</v>
      </c>
      <c r="B80" t="s">
        <v>355</v>
      </c>
      <c r="C80" s="326" t="s">
        <v>3189</v>
      </c>
      <c r="D80" s="327" t="str">
        <f t="shared" si="2"/>
        <v>NACE B - 08.12 Operation of gravel and sand pits and mining of clay and kaolin</v>
      </c>
      <c r="E80" s="324" t="s">
        <v>356</v>
      </c>
      <c r="F80" t="s">
        <v>357</v>
      </c>
      <c r="G80" t="str">
        <f t="shared" si="3"/>
        <v>GA</v>
      </c>
      <c r="H80" s="462"/>
      <c r="I80" t="s">
        <v>3529</v>
      </c>
      <c r="K80" t="s">
        <v>4733</v>
      </c>
      <c r="S80">
        <v>2078</v>
      </c>
      <c r="V80" s="461"/>
      <c r="Z80" t="s">
        <v>2830</v>
      </c>
      <c r="AA80" t="s">
        <v>3856</v>
      </c>
    </row>
    <row r="81" spans="1:27" x14ac:dyDescent="0.3">
      <c r="A81" s="326" t="s">
        <v>358</v>
      </c>
      <c r="B81" t="s">
        <v>359</v>
      </c>
      <c r="C81" s="323" t="s">
        <v>3190</v>
      </c>
      <c r="D81" s="326" t="str">
        <f t="shared" si="2"/>
        <v>NACE B - 08.9 Mining and quarrying n.e.c.</v>
      </c>
      <c r="E81" s="324" t="s">
        <v>360</v>
      </c>
      <c r="F81" t="s">
        <v>361</v>
      </c>
      <c r="G81" t="str">
        <f t="shared" si="3"/>
        <v>GB</v>
      </c>
      <c r="H81" s="461"/>
      <c r="I81" t="s">
        <v>2669</v>
      </c>
      <c r="K81" t="s">
        <v>4734</v>
      </c>
      <c r="S81">
        <v>2079</v>
      </c>
      <c r="V81" s="461"/>
      <c r="Z81" t="s">
        <v>2831</v>
      </c>
      <c r="AA81" t="s">
        <v>3857</v>
      </c>
    </row>
    <row r="82" spans="1:27" x14ac:dyDescent="0.3">
      <c r="A82" s="327" t="s">
        <v>362</v>
      </c>
      <c r="B82" t="s">
        <v>363</v>
      </c>
      <c r="C82" s="326" t="s">
        <v>3191</v>
      </c>
      <c r="D82" s="327" t="str">
        <f t="shared" si="2"/>
        <v>NACE B - 08.91 Mining of chemical and fertiliser minerals</v>
      </c>
      <c r="E82" s="324" t="s">
        <v>364</v>
      </c>
      <c r="F82" t="s">
        <v>365</v>
      </c>
      <c r="G82" t="str">
        <f t="shared" si="3"/>
        <v>GD</v>
      </c>
      <c r="H82" s="461"/>
      <c r="I82" t="s">
        <v>2668</v>
      </c>
      <c r="K82" t="s">
        <v>4735</v>
      </c>
      <c r="S82">
        <v>2080</v>
      </c>
      <c r="V82" s="461"/>
      <c r="Z82" t="s">
        <v>2832</v>
      </c>
      <c r="AA82" t="s">
        <v>3858</v>
      </c>
    </row>
    <row r="83" spans="1:27" x14ac:dyDescent="0.3">
      <c r="A83" s="327" t="s">
        <v>366</v>
      </c>
      <c r="B83" t="s">
        <v>367</v>
      </c>
      <c r="C83" s="326" t="s">
        <v>3192</v>
      </c>
      <c r="D83" s="327" t="str">
        <f t="shared" si="2"/>
        <v>NACE B - 08.92 Extraction of peat</v>
      </c>
      <c r="E83" s="324" t="s">
        <v>368</v>
      </c>
      <c r="F83" t="s">
        <v>369</v>
      </c>
      <c r="G83" t="str">
        <f t="shared" si="3"/>
        <v>GE</v>
      </c>
      <c r="H83" s="461"/>
      <c r="I83" t="s">
        <v>3522</v>
      </c>
      <c r="K83" t="s">
        <v>4736</v>
      </c>
      <c r="S83">
        <v>2081</v>
      </c>
      <c r="V83" s="462"/>
      <c r="Z83" t="s">
        <v>2744</v>
      </c>
      <c r="AA83" t="s">
        <v>3859</v>
      </c>
    </row>
    <row r="84" spans="1:27" x14ac:dyDescent="0.3">
      <c r="A84" s="327" t="s">
        <v>370</v>
      </c>
      <c r="B84" t="s">
        <v>371</v>
      </c>
      <c r="C84" s="323" t="s">
        <v>3193</v>
      </c>
      <c r="D84" s="327" t="str">
        <f t="shared" si="2"/>
        <v>NACE B - 08.93 Extraction of salt</v>
      </c>
      <c r="E84" s="324" t="s">
        <v>372</v>
      </c>
      <c r="F84" t="s">
        <v>373</v>
      </c>
      <c r="G84" t="str">
        <f t="shared" si="3"/>
        <v>GF</v>
      </c>
      <c r="H84" s="462"/>
      <c r="I84" t="s">
        <v>2667</v>
      </c>
      <c r="K84" t="s">
        <v>4737</v>
      </c>
      <c r="S84">
        <v>2082</v>
      </c>
      <c r="V84" s="462"/>
      <c r="Z84" t="s">
        <v>2833</v>
      </c>
      <c r="AA84" t="s">
        <v>3860</v>
      </c>
    </row>
    <row r="85" spans="1:27" x14ac:dyDescent="0.3">
      <c r="A85" s="327" t="s">
        <v>374</v>
      </c>
      <c r="B85" t="s">
        <v>375</v>
      </c>
      <c r="C85" s="326" t="s">
        <v>3194</v>
      </c>
      <c r="D85" s="327" t="str">
        <f t="shared" si="2"/>
        <v>NACE B - 08.99 Other mining and quarrying n.e.c.</v>
      </c>
      <c r="E85" s="324" t="s">
        <v>376</v>
      </c>
      <c r="F85" t="s">
        <v>377</v>
      </c>
      <c r="G85" t="str">
        <f t="shared" si="3"/>
        <v>GG</v>
      </c>
      <c r="H85" s="462"/>
      <c r="I85" t="s">
        <v>2666</v>
      </c>
      <c r="K85" t="s">
        <v>4738</v>
      </c>
      <c r="S85">
        <v>2083</v>
      </c>
      <c r="V85" s="89"/>
      <c r="Z85" t="s">
        <v>2834</v>
      </c>
      <c r="AA85" t="s">
        <v>3861</v>
      </c>
    </row>
    <row r="86" spans="1:27" x14ac:dyDescent="0.3">
      <c r="A86" s="323" t="s">
        <v>378</v>
      </c>
      <c r="B86" t="s">
        <v>379</v>
      </c>
      <c r="C86" s="326" t="s">
        <v>3195</v>
      </c>
      <c r="D86" s="323" t="str">
        <f t="shared" si="2"/>
        <v>NACE B - 08 Mining support service activities</v>
      </c>
      <c r="E86" s="324" t="s">
        <v>380</v>
      </c>
      <c r="F86" t="s">
        <v>381</v>
      </c>
      <c r="G86" t="str">
        <f t="shared" si="3"/>
        <v>GH</v>
      </c>
      <c r="H86" s="89"/>
      <c r="I86" t="s">
        <v>2665</v>
      </c>
      <c r="K86" t="s">
        <v>4739</v>
      </c>
      <c r="S86">
        <v>2084</v>
      </c>
      <c r="V86" s="462"/>
      <c r="Z86" t="s">
        <v>2835</v>
      </c>
      <c r="AA86" t="s">
        <v>3862</v>
      </c>
    </row>
    <row r="87" spans="1:27" x14ac:dyDescent="0.3">
      <c r="A87" s="326" t="s">
        <v>382</v>
      </c>
      <c r="B87" t="s">
        <v>383</v>
      </c>
      <c r="C87" s="323" t="s">
        <v>3196</v>
      </c>
      <c r="D87" s="326" t="str">
        <f t="shared" si="2"/>
        <v>NACE B - 09.1 Support activities for petroleum and natural gas extraction</v>
      </c>
      <c r="E87" s="324" t="s">
        <v>384</v>
      </c>
      <c r="F87" t="s">
        <v>385</v>
      </c>
      <c r="G87" t="str">
        <f t="shared" si="3"/>
        <v>GI</v>
      </c>
      <c r="H87" s="462"/>
      <c r="I87" t="s">
        <v>2664</v>
      </c>
      <c r="K87" t="s">
        <v>4740</v>
      </c>
      <c r="S87">
        <v>2085</v>
      </c>
      <c r="V87" s="462"/>
      <c r="Z87" t="s">
        <v>2836</v>
      </c>
      <c r="AA87" t="s">
        <v>3863</v>
      </c>
    </row>
    <row r="88" spans="1:27" x14ac:dyDescent="0.3">
      <c r="A88" s="327" t="s">
        <v>386</v>
      </c>
      <c r="B88" t="s">
        <v>387</v>
      </c>
      <c r="C88" s="326" t="s">
        <v>3197</v>
      </c>
      <c r="D88" s="327" t="str">
        <f t="shared" si="2"/>
        <v>NACE B - 09.10 Support activities for petroleum and natural gas extraction</v>
      </c>
      <c r="E88" s="324" t="s">
        <v>388</v>
      </c>
      <c r="F88" t="s">
        <v>389</v>
      </c>
      <c r="G88" t="str">
        <f t="shared" si="3"/>
        <v>GL</v>
      </c>
      <c r="H88" s="462"/>
      <c r="I88" t="s">
        <v>3530</v>
      </c>
      <c r="K88" t="s">
        <v>4741</v>
      </c>
      <c r="S88">
        <v>2086</v>
      </c>
      <c r="V88" s="462"/>
      <c r="Z88" t="s">
        <v>2837</v>
      </c>
      <c r="AA88" t="s">
        <v>3864</v>
      </c>
    </row>
    <row r="89" spans="1:27" x14ac:dyDescent="0.3">
      <c r="A89" s="326" t="s">
        <v>390</v>
      </c>
      <c r="B89" t="s">
        <v>391</v>
      </c>
      <c r="C89" s="326" t="s">
        <v>3198</v>
      </c>
      <c r="D89" s="326" t="str">
        <f t="shared" si="2"/>
        <v>NACE B - 09.9 Support activities for other mining and quarrying</v>
      </c>
      <c r="E89" s="324" t="s">
        <v>392</v>
      </c>
      <c r="F89" t="s">
        <v>393</v>
      </c>
      <c r="G89" t="str">
        <f t="shared" si="3"/>
        <v>GM</v>
      </c>
      <c r="H89" s="462"/>
      <c r="I89" t="s">
        <v>2663</v>
      </c>
      <c r="K89" t="s">
        <v>4742</v>
      </c>
      <c r="S89">
        <v>2087</v>
      </c>
      <c r="V89" s="462"/>
      <c r="Z89" t="s">
        <v>2838</v>
      </c>
      <c r="AA89" t="s">
        <v>3865</v>
      </c>
    </row>
    <row r="90" spans="1:27" x14ac:dyDescent="0.3">
      <c r="A90" s="327" t="s">
        <v>394</v>
      </c>
      <c r="B90" t="s">
        <v>395</v>
      </c>
      <c r="C90" s="326" t="s">
        <v>3199</v>
      </c>
      <c r="D90" s="327" t="str">
        <f t="shared" si="2"/>
        <v>NACE B - 09.90 Support activities for other mining and quarrying</v>
      </c>
      <c r="E90" s="324" t="s">
        <v>396</v>
      </c>
      <c r="F90" t="s">
        <v>397</v>
      </c>
      <c r="G90" t="str">
        <f t="shared" si="3"/>
        <v>GN</v>
      </c>
      <c r="H90" s="462"/>
      <c r="I90" t="s">
        <v>2662</v>
      </c>
      <c r="K90" t="s">
        <v>4743</v>
      </c>
      <c r="S90">
        <v>2088</v>
      </c>
      <c r="V90" s="462"/>
      <c r="Z90" t="s">
        <v>2904</v>
      </c>
      <c r="AA90" t="s">
        <v>3866</v>
      </c>
    </row>
    <row r="91" spans="1:27" x14ac:dyDescent="0.3">
      <c r="A91" s="324" t="s">
        <v>398</v>
      </c>
      <c r="B91" t="s">
        <v>399</v>
      </c>
      <c r="C91" s="326" t="s">
        <v>3200</v>
      </c>
      <c r="D91" s="324" t="str">
        <f t="shared" si="2"/>
        <v>NACE C - MANUFACTURING</v>
      </c>
      <c r="E91" s="324" t="s">
        <v>400</v>
      </c>
      <c r="F91" t="s">
        <v>401</v>
      </c>
      <c r="G91" t="str">
        <f t="shared" si="3"/>
        <v>GP</v>
      </c>
      <c r="H91" s="462"/>
      <c r="I91" t="s">
        <v>2661</v>
      </c>
      <c r="K91" t="s">
        <v>4744</v>
      </c>
      <c r="S91">
        <v>2089</v>
      </c>
      <c r="V91" s="462"/>
      <c r="Z91" t="s">
        <v>2839</v>
      </c>
      <c r="AA91" t="s">
        <v>3867</v>
      </c>
    </row>
    <row r="92" spans="1:27" x14ac:dyDescent="0.3">
      <c r="A92" s="323" t="s">
        <v>402</v>
      </c>
      <c r="B92" t="s">
        <v>403</v>
      </c>
      <c r="C92" s="326" t="s">
        <v>3201</v>
      </c>
      <c r="D92" s="323" t="str">
        <f t="shared" si="2"/>
        <v>NACE C - 10 Manufacture of food products</v>
      </c>
      <c r="E92" s="324" t="s">
        <v>404</v>
      </c>
      <c r="F92" t="s">
        <v>405</v>
      </c>
      <c r="G92" t="str">
        <f t="shared" si="3"/>
        <v>GQ</v>
      </c>
      <c r="H92" s="462"/>
      <c r="I92" t="s">
        <v>2660</v>
      </c>
      <c r="K92" t="s">
        <v>4745</v>
      </c>
      <c r="S92">
        <v>2090</v>
      </c>
      <c r="V92" s="462"/>
      <c r="Z92" t="s">
        <v>2840</v>
      </c>
      <c r="AA92" t="s">
        <v>3868</v>
      </c>
    </row>
    <row r="93" spans="1:27" x14ac:dyDescent="0.3">
      <c r="A93" s="326" t="s">
        <v>406</v>
      </c>
      <c r="B93" t="s">
        <v>407</v>
      </c>
      <c r="C93" s="326" t="s">
        <v>3202</v>
      </c>
      <c r="D93" s="326" t="str">
        <f t="shared" si="2"/>
        <v>NACE C - 10.1 Processing and preserving of meat and production of meat products</v>
      </c>
      <c r="E93" s="324" t="s">
        <v>408</v>
      </c>
      <c r="F93" t="s">
        <v>409</v>
      </c>
      <c r="G93" t="str">
        <f t="shared" si="3"/>
        <v>GR</v>
      </c>
      <c r="H93" s="462"/>
      <c r="I93" t="s">
        <v>2659</v>
      </c>
      <c r="K93" t="s">
        <v>4746</v>
      </c>
      <c r="S93">
        <v>2091</v>
      </c>
      <c r="V93" s="462"/>
      <c r="Z93" t="s">
        <v>2841</v>
      </c>
      <c r="AA93" t="s">
        <v>3869</v>
      </c>
    </row>
    <row r="94" spans="1:27" x14ac:dyDescent="0.3">
      <c r="A94" s="327" t="s">
        <v>410</v>
      </c>
      <c r="B94" t="s">
        <v>411</v>
      </c>
      <c r="C94" s="326" t="s">
        <v>3203</v>
      </c>
      <c r="D94" s="327" t="str">
        <f t="shared" si="2"/>
        <v>NACE C - 10.11 Processing and preserving of meat, except of poultry meat</v>
      </c>
      <c r="E94" s="324" t="s">
        <v>412</v>
      </c>
      <c r="F94" t="s">
        <v>413</v>
      </c>
      <c r="G94" t="str">
        <f t="shared" si="3"/>
        <v>GS</v>
      </c>
      <c r="H94" s="462"/>
      <c r="I94" t="s">
        <v>2658</v>
      </c>
      <c r="K94" t="s">
        <v>4747</v>
      </c>
      <c r="S94">
        <v>2092</v>
      </c>
      <c r="V94" s="89"/>
      <c r="Z94" t="s">
        <v>2842</v>
      </c>
      <c r="AA94" t="s">
        <v>3870</v>
      </c>
    </row>
    <row r="95" spans="1:27" x14ac:dyDescent="0.3">
      <c r="A95" s="327" t="s">
        <v>414</v>
      </c>
      <c r="B95" t="s">
        <v>415</v>
      </c>
      <c r="C95" s="326" t="s">
        <v>3204</v>
      </c>
      <c r="D95" s="327" t="str">
        <f t="shared" si="2"/>
        <v>NACE C - 10.12 Processing and preserving of poultry meat</v>
      </c>
      <c r="E95" s="324" t="s">
        <v>416</v>
      </c>
      <c r="F95" t="s">
        <v>417</v>
      </c>
      <c r="G95" t="str">
        <f t="shared" si="3"/>
        <v>GT</v>
      </c>
      <c r="H95" s="89"/>
      <c r="I95" t="s">
        <v>3523</v>
      </c>
      <c r="K95" t="s">
        <v>4748</v>
      </c>
      <c r="S95">
        <v>2093</v>
      </c>
      <c r="V95" s="462"/>
      <c r="Z95" t="s">
        <v>2843</v>
      </c>
      <c r="AA95" t="s">
        <v>3871</v>
      </c>
    </row>
    <row r="96" spans="1:27" x14ac:dyDescent="0.3">
      <c r="A96" s="327" t="s">
        <v>418</v>
      </c>
      <c r="B96" t="s">
        <v>419</v>
      </c>
      <c r="C96" s="323" t="s">
        <v>3205</v>
      </c>
      <c r="D96" s="327" t="str">
        <f t="shared" si="2"/>
        <v>NACE C - 10.13 Production of meat and poultry meat products</v>
      </c>
      <c r="E96" s="324" t="s">
        <v>420</v>
      </c>
      <c r="F96" t="s">
        <v>421</v>
      </c>
      <c r="G96" t="str">
        <f t="shared" si="3"/>
        <v>GU</v>
      </c>
      <c r="H96" s="462"/>
      <c r="K96" t="s">
        <v>4749</v>
      </c>
      <c r="S96">
        <v>2094</v>
      </c>
      <c r="V96" s="462"/>
      <c r="Z96" t="s">
        <v>2745</v>
      </c>
      <c r="AA96" t="s">
        <v>3872</v>
      </c>
    </row>
    <row r="97" spans="1:27" x14ac:dyDescent="0.3">
      <c r="A97" s="326" t="s">
        <v>422</v>
      </c>
      <c r="B97" t="s">
        <v>423</v>
      </c>
      <c r="C97" s="326" t="s">
        <v>3206</v>
      </c>
      <c r="D97" s="326" t="str">
        <f t="shared" si="2"/>
        <v>NACE C - 10.2 Processing and preserving of fish, crustaceans and molluscs</v>
      </c>
      <c r="E97" s="324" t="s">
        <v>424</v>
      </c>
      <c r="F97" t="s">
        <v>425</v>
      </c>
      <c r="G97" t="str">
        <f t="shared" si="3"/>
        <v>GW</v>
      </c>
      <c r="H97" s="462"/>
      <c r="K97" t="s">
        <v>4750</v>
      </c>
      <c r="S97">
        <v>2095</v>
      </c>
      <c r="V97" s="462"/>
      <c r="Z97" t="s">
        <v>2844</v>
      </c>
      <c r="AA97" t="s">
        <v>3873</v>
      </c>
    </row>
    <row r="98" spans="1:27" x14ac:dyDescent="0.3">
      <c r="A98" s="327" t="s">
        <v>426</v>
      </c>
      <c r="B98" t="s">
        <v>427</v>
      </c>
      <c r="C98" s="326" t="s">
        <v>3207</v>
      </c>
      <c r="D98" s="327" t="str">
        <f t="shared" si="2"/>
        <v>NACE C - 10.20 Processing and preserving of fish, crustaceans and molluscs</v>
      </c>
      <c r="E98" s="324" t="s">
        <v>428</v>
      </c>
      <c r="F98" t="s">
        <v>429</v>
      </c>
      <c r="G98" t="str">
        <f t="shared" si="3"/>
        <v>GY</v>
      </c>
      <c r="H98" s="462"/>
      <c r="K98" t="s">
        <v>4751</v>
      </c>
      <c r="S98">
        <v>2096</v>
      </c>
      <c r="V98" s="89"/>
      <c r="Z98" t="s">
        <v>2845</v>
      </c>
      <c r="AA98" t="s">
        <v>3874</v>
      </c>
    </row>
    <row r="99" spans="1:27" x14ac:dyDescent="0.3">
      <c r="A99" s="326" t="s">
        <v>430</v>
      </c>
      <c r="B99" t="s">
        <v>431</v>
      </c>
      <c r="C99" s="326" t="s">
        <v>3208</v>
      </c>
      <c r="D99" s="326" t="str">
        <f t="shared" si="2"/>
        <v>NACE C - 10.3 Processing and preserving of fruit and vegetables</v>
      </c>
      <c r="E99" s="324" t="s">
        <v>432</v>
      </c>
      <c r="F99" t="s">
        <v>433</v>
      </c>
      <c r="G99" t="str">
        <f t="shared" si="3"/>
        <v>HK</v>
      </c>
      <c r="H99" s="89"/>
      <c r="K99" t="s">
        <v>4752</v>
      </c>
      <c r="S99">
        <v>2097</v>
      </c>
      <c r="V99" s="462"/>
      <c r="Z99" t="s">
        <v>2746</v>
      </c>
      <c r="AA99" t="s">
        <v>3875</v>
      </c>
    </row>
    <row r="100" spans="1:27" x14ac:dyDescent="0.3">
      <c r="A100" s="327" t="s">
        <v>434</v>
      </c>
      <c r="B100" t="s">
        <v>435</v>
      </c>
      <c r="C100" s="326" t="s">
        <v>3209</v>
      </c>
      <c r="D100" s="327" t="str">
        <f t="shared" si="2"/>
        <v>NACE C - 10.31 Processing and preserving of potatoes</v>
      </c>
      <c r="E100" s="324" t="s">
        <v>436</v>
      </c>
      <c r="F100" t="s">
        <v>437</v>
      </c>
      <c r="G100" t="str">
        <f t="shared" si="3"/>
        <v>HM</v>
      </c>
      <c r="H100" s="462"/>
      <c r="K100" t="s">
        <v>4640</v>
      </c>
      <c r="S100">
        <v>2098</v>
      </c>
      <c r="V100" s="462"/>
      <c r="Z100" t="s">
        <v>2846</v>
      </c>
      <c r="AA100" t="s">
        <v>3876</v>
      </c>
    </row>
    <row r="101" spans="1:27" x14ac:dyDescent="0.3">
      <c r="A101" s="327" t="s">
        <v>438</v>
      </c>
      <c r="B101" t="s">
        <v>439</v>
      </c>
      <c r="C101" s="326" t="s">
        <v>3210</v>
      </c>
      <c r="D101" s="327" t="str">
        <f t="shared" si="2"/>
        <v>NACE C - 10.32 Manufacture of fruit and vegetable juice</v>
      </c>
      <c r="E101" s="324" t="s">
        <v>440</v>
      </c>
      <c r="F101" t="s">
        <v>441</v>
      </c>
      <c r="G101" t="str">
        <f t="shared" si="3"/>
        <v>HN</v>
      </c>
      <c r="H101" s="462"/>
      <c r="K101" t="s">
        <v>4753</v>
      </c>
      <c r="S101">
        <v>2099</v>
      </c>
      <c r="V101" s="462"/>
      <c r="Z101" t="s">
        <v>2847</v>
      </c>
      <c r="AA101" t="s">
        <v>3877</v>
      </c>
    </row>
    <row r="102" spans="1:27" x14ac:dyDescent="0.3">
      <c r="A102" s="327" t="s">
        <v>442</v>
      </c>
      <c r="B102" t="s">
        <v>443</v>
      </c>
      <c r="C102" s="323" t="s">
        <v>3211</v>
      </c>
      <c r="D102" s="327" t="str">
        <f t="shared" si="2"/>
        <v>NACE C - 10.39 Other processing and preserving of fruit and vegetables</v>
      </c>
      <c r="E102" s="324" t="s">
        <v>444</v>
      </c>
      <c r="F102" t="s">
        <v>445</v>
      </c>
      <c r="G102" t="str">
        <f t="shared" si="3"/>
        <v>HR</v>
      </c>
      <c r="H102" s="462"/>
      <c r="K102" t="s">
        <v>4754</v>
      </c>
      <c r="S102">
        <v>2100</v>
      </c>
      <c r="V102" s="462"/>
      <c r="Z102" t="s">
        <v>2848</v>
      </c>
      <c r="AA102" t="s">
        <v>3878</v>
      </c>
    </row>
    <row r="103" spans="1:27" x14ac:dyDescent="0.3">
      <c r="A103" s="326" t="s">
        <v>446</v>
      </c>
      <c r="B103" t="s">
        <v>447</v>
      </c>
      <c r="C103" s="326" t="s">
        <v>3212</v>
      </c>
      <c r="D103" s="326" t="str">
        <f t="shared" si="2"/>
        <v>NACE C - 10.4 Manufacture of vegetable and animal oils and fats</v>
      </c>
      <c r="E103" s="324" t="s">
        <v>448</v>
      </c>
      <c r="F103" t="s">
        <v>449</v>
      </c>
      <c r="G103" t="str">
        <f t="shared" si="3"/>
        <v>HT</v>
      </c>
      <c r="H103" s="462"/>
      <c r="K103" t="s">
        <v>4755</v>
      </c>
      <c r="V103" s="462"/>
      <c r="Z103" t="s">
        <v>2849</v>
      </c>
      <c r="AA103" t="s">
        <v>3879</v>
      </c>
    </row>
    <row r="104" spans="1:27" x14ac:dyDescent="0.3">
      <c r="A104" s="327" t="s">
        <v>450</v>
      </c>
      <c r="B104" t="s">
        <v>451</v>
      </c>
      <c r="C104" s="326" t="s">
        <v>3213</v>
      </c>
      <c r="D104" s="327" t="str">
        <f t="shared" si="2"/>
        <v>NACE C - 10.41 Manufacture of oils and fats</v>
      </c>
      <c r="E104" s="324" t="s">
        <v>452</v>
      </c>
      <c r="F104" t="s">
        <v>453</v>
      </c>
      <c r="G104" t="str">
        <f t="shared" si="3"/>
        <v>HU</v>
      </c>
      <c r="H104" s="462"/>
      <c r="K104" t="s">
        <v>4756</v>
      </c>
      <c r="V104" s="462"/>
      <c r="Z104" t="s">
        <v>2850</v>
      </c>
      <c r="AA104" t="s">
        <v>3880</v>
      </c>
    </row>
    <row r="105" spans="1:27" x14ac:dyDescent="0.3">
      <c r="A105" s="327" t="s">
        <v>454</v>
      </c>
      <c r="B105" t="s">
        <v>455</v>
      </c>
      <c r="C105" s="326" t="s">
        <v>3214</v>
      </c>
      <c r="D105" s="327" t="str">
        <f t="shared" si="2"/>
        <v>NACE C - 10.42 Manufacture of margarine and similar edible fats</v>
      </c>
      <c r="E105" s="324" t="s">
        <v>456</v>
      </c>
      <c r="F105" t="s">
        <v>457</v>
      </c>
      <c r="G105" t="str">
        <f t="shared" si="3"/>
        <v>ID</v>
      </c>
      <c r="H105" s="462"/>
      <c r="K105" t="s">
        <v>4757</v>
      </c>
      <c r="V105" s="462"/>
      <c r="Z105" t="s">
        <v>2851</v>
      </c>
      <c r="AA105" t="s">
        <v>3881</v>
      </c>
    </row>
    <row r="106" spans="1:27" x14ac:dyDescent="0.3">
      <c r="A106" s="326" t="s">
        <v>458</v>
      </c>
      <c r="B106" t="s">
        <v>459</v>
      </c>
      <c r="C106" s="326" t="s">
        <v>3215</v>
      </c>
      <c r="D106" s="326" t="str">
        <f t="shared" si="2"/>
        <v>NACE C - 10.5 Manufacture of dairy products and edible ice</v>
      </c>
      <c r="E106" s="324" t="s">
        <v>460</v>
      </c>
      <c r="F106" t="s">
        <v>461</v>
      </c>
      <c r="G106" t="str">
        <f t="shared" si="3"/>
        <v>IE</v>
      </c>
      <c r="H106" s="462"/>
      <c r="K106" t="s">
        <v>4758</v>
      </c>
      <c r="V106" s="89"/>
      <c r="Z106" t="s">
        <v>2852</v>
      </c>
      <c r="AA106" t="s">
        <v>3882</v>
      </c>
    </row>
    <row r="107" spans="1:27" x14ac:dyDescent="0.3">
      <c r="A107" s="327" t="s">
        <v>462</v>
      </c>
      <c r="B107" t="s">
        <v>463</v>
      </c>
      <c r="C107" s="326" t="s">
        <v>3216</v>
      </c>
      <c r="D107" s="327" t="str">
        <f t="shared" si="2"/>
        <v>NACE C - 10.51 Manufacture of dairy products</v>
      </c>
      <c r="E107" s="324" t="s">
        <v>464</v>
      </c>
      <c r="F107" t="s">
        <v>465</v>
      </c>
      <c r="G107" t="str">
        <f t="shared" si="3"/>
        <v>IL</v>
      </c>
      <c r="H107" s="89"/>
      <c r="K107" t="s">
        <v>4759</v>
      </c>
      <c r="V107" s="462"/>
      <c r="Z107" t="s">
        <v>2853</v>
      </c>
      <c r="AA107" t="s">
        <v>3883</v>
      </c>
    </row>
    <row r="108" spans="1:27" x14ac:dyDescent="0.3">
      <c r="A108" s="327" t="s">
        <v>466</v>
      </c>
      <c r="B108" t="s">
        <v>467</v>
      </c>
      <c r="C108" s="326" t="s">
        <v>3217</v>
      </c>
      <c r="D108" s="327" t="str">
        <f t="shared" si="2"/>
        <v>NACE C - 10.52 Manufacture of ice cream and other edible ice</v>
      </c>
      <c r="E108" s="324" t="s">
        <v>468</v>
      </c>
      <c r="F108" t="s">
        <v>469</v>
      </c>
      <c r="G108" t="str">
        <f t="shared" si="3"/>
        <v>IM</v>
      </c>
      <c r="H108" s="462"/>
      <c r="K108" t="s">
        <v>4760</v>
      </c>
      <c r="V108" s="462"/>
      <c r="Z108" t="s">
        <v>2747</v>
      </c>
      <c r="AA108" t="s">
        <v>3884</v>
      </c>
    </row>
    <row r="109" spans="1:27" x14ac:dyDescent="0.3">
      <c r="A109" s="326" t="s">
        <v>470</v>
      </c>
      <c r="B109" t="s">
        <v>471</v>
      </c>
      <c r="C109" s="326" t="s">
        <v>3218</v>
      </c>
      <c r="D109" s="326" t="str">
        <f t="shared" si="2"/>
        <v>NACE C - 10.6 Manufacture of grain mill products, starches and starch products</v>
      </c>
      <c r="E109" s="324" t="s">
        <v>472</v>
      </c>
      <c r="F109" t="s">
        <v>473</v>
      </c>
      <c r="G109" t="str">
        <f t="shared" si="3"/>
        <v>IN</v>
      </c>
      <c r="H109" s="462"/>
      <c r="K109" t="s">
        <v>4761</v>
      </c>
      <c r="V109" s="89"/>
      <c r="Z109" t="s">
        <v>2854</v>
      </c>
      <c r="AA109" t="s">
        <v>3885</v>
      </c>
    </row>
    <row r="110" spans="1:27" x14ac:dyDescent="0.3">
      <c r="A110" s="327" t="s">
        <v>474</v>
      </c>
      <c r="B110" t="s">
        <v>475</v>
      </c>
      <c r="C110" s="323" t="s">
        <v>3219</v>
      </c>
      <c r="D110" s="327" t="str">
        <f t="shared" si="2"/>
        <v>NACE C - 10.61 Manufacture of grain mill products</v>
      </c>
      <c r="E110" s="324" t="s">
        <v>476</v>
      </c>
      <c r="F110" t="s">
        <v>477</v>
      </c>
      <c r="G110" t="str">
        <f t="shared" si="3"/>
        <v>IO</v>
      </c>
      <c r="H110" s="89"/>
      <c r="K110" t="s">
        <v>4762</v>
      </c>
      <c r="V110" s="462"/>
      <c r="Z110" t="s">
        <v>2855</v>
      </c>
      <c r="AA110" t="s">
        <v>3886</v>
      </c>
    </row>
    <row r="111" spans="1:27" x14ac:dyDescent="0.3">
      <c r="A111" s="327" t="s">
        <v>478</v>
      </c>
      <c r="B111" t="s">
        <v>479</v>
      </c>
      <c r="C111" s="326" t="s">
        <v>3220</v>
      </c>
      <c r="D111" s="327" t="str">
        <f t="shared" si="2"/>
        <v>NACE C - 10.62 Manufacture of starches and starch products</v>
      </c>
      <c r="E111" s="324" t="s">
        <v>480</v>
      </c>
      <c r="F111" t="s">
        <v>481</v>
      </c>
      <c r="G111" t="str">
        <f t="shared" si="3"/>
        <v>IQ</v>
      </c>
      <c r="H111" s="462"/>
      <c r="K111" t="s">
        <v>4763</v>
      </c>
      <c r="V111" s="462"/>
      <c r="Z111" t="s">
        <v>2856</v>
      </c>
      <c r="AA111" t="s">
        <v>3887</v>
      </c>
    </row>
    <row r="112" spans="1:27" x14ac:dyDescent="0.3">
      <c r="A112" s="326" t="s">
        <v>482</v>
      </c>
      <c r="B112" t="s">
        <v>483</v>
      </c>
      <c r="C112" s="326" t="s">
        <v>3221</v>
      </c>
      <c r="D112" s="326" t="str">
        <f t="shared" si="2"/>
        <v>NACE C - 10.7 Manufacture of bakery and farinaceous products</v>
      </c>
      <c r="E112" s="324" t="s">
        <v>484</v>
      </c>
      <c r="F112" t="s">
        <v>485</v>
      </c>
      <c r="G112" t="str">
        <f t="shared" si="3"/>
        <v>IR</v>
      </c>
      <c r="H112" s="462"/>
      <c r="K112" t="s">
        <v>4764</v>
      </c>
      <c r="V112" s="462"/>
      <c r="Z112" t="s">
        <v>2857</v>
      </c>
      <c r="AA112" t="s">
        <v>3888</v>
      </c>
    </row>
    <row r="113" spans="1:27" x14ac:dyDescent="0.3">
      <c r="A113" s="327" t="s">
        <v>486</v>
      </c>
      <c r="B113" t="s">
        <v>487</v>
      </c>
      <c r="C113" s="326" t="s">
        <v>3222</v>
      </c>
      <c r="D113" s="327" t="str">
        <f t="shared" si="2"/>
        <v>NACE C - 10.71 Manufacture of bread; manufacture of fresh pastry goods and cakes</v>
      </c>
      <c r="E113" s="324" t="s">
        <v>488</v>
      </c>
      <c r="F113" t="s">
        <v>489</v>
      </c>
      <c r="G113" t="str">
        <f t="shared" si="3"/>
        <v>IS</v>
      </c>
      <c r="H113" s="462"/>
      <c r="K113" t="s">
        <v>4765</v>
      </c>
      <c r="V113" s="462"/>
      <c r="Z113" t="s">
        <v>2858</v>
      </c>
      <c r="AA113" t="s">
        <v>3889</v>
      </c>
    </row>
    <row r="114" spans="1:27" x14ac:dyDescent="0.3">
      <c r="A114" s="327" t="s">
        <v>490</v>
      </c>
      <c r="B114" t="s">
        <v>491</v>
      </c>
      <c r="C114" s="326" t="s">
        <v>3223</v>
      </c>
      <c r="D114" s="327" t="str">
        <f t="shared" si="2"/>
        <v>NACE C - 10.72 Manufacture of rusks, biscuits, preserved pastries and cakes</v>
      </c>
      <c r="E114" s="324" t="s">
        <v>492</v>
      </c>
      <c r="F114" t="s">
        <v>493</v>
      </c>
      <c r="G114" t="str">
        <f t="shared" si="3"/>
        <v>IT</v>
      </c>
      <c r="H114" s="462"/>
      <c r="K114" t="s">
        <v>4766</v>
      </c>
      <c r="V114" s="89"/>
      <c r="Z114" t="s">
        <v>2859</v>
      </c>
      <c r="AA114" t="s">
        <v>3890</v>
      </c>
    </row>
    <row r="115" spans="1:27" x14ac:dyDescent="0.3">
      <c r="A115" s="327" t="s">
        <v>494</v>
      </c>
      <c r="B115" t="s">
        <v>495</v>
      </c>
      <c r="C115" s="326" t="s">
        <v>3224</v>
      </c>
      <c r="D115" s="327" t="str">
        <f t="shared" si="2"/>
        <v>NACE C - 10.73 Manufacture of farinaceous products</v>
      </c>
      <c r="E115" s="324" t="s">
        <v>496</v>
      </c>
      <c r="F115" t="s">
        <v>497</v>
      </c>
      <c r="G115" t="str">
        <f t="shared" si="3"/>
        <v>JE</v>
      </c>
      <c r="H115" s="89"/>
      <c r="K115" t="s">
        <v>4767</v>
      </c>
      <c r="V115" s="462"/>
      <c r="Z115" t="s">
        <v>2860</v>
      </c>
      <c r="AA115" t="s">
        <v>3891</v>
      </c>
    </row>
    <row r="116" spans="1:27" x14ac:dyDescent="0.3">
      <c r="A116" s="326" t="s">
        <v>498</v>
      </c>
      <c r="B116" t="s">
        <v>499</v>
      </c>
      <c r="C116" s="326" t="s">
        <v>3225</v>
      </c>
      <c r="D116" s="326" t="str">
        <f t="shared" si="2"/>
        <v>NACE C - 10.8 Manufacture of other food products</v>
      </c>
      <c r="E116" s="324" t="s">
        <v>500</v>
      </c>
      <c r="F116" t="s">
        <v>501</v>
      </c>
      <c r="G116" t="str">
        <f t="shared" si="3"/>
        <v>JM</v>
      </c>
      <c r="H116" s="462"/>
      <c r="K116" t="s">
        <v>4768</v>
      </c>
      <c r="V116" s="462"/>
      <c r="Z116" t="s">
        <v>2748</v>
      </c>
      <c r="AA116" t="s">
        <v>3892</v>
      </c>
    </row>
    <row r="117" spans="1:27" x14ac:dyDescent="0.3">
      <c r="A117" s="327" t="s">
        <v>502</v>
      </c>
      <c r="B117" t="s">
        <v>503</v>
      </c>
      <c r="C117" s="326" t="s">
        <v>3226</v>
      </c>
      <c r="D117" s="327" t="str">
        <f t="shared" si="2"/>
        <v>NACE C - 10.81 Manufacture of sugar</v>
      </c>
      <c r="E117" s="324" t="s">
        <v>504</v>
      </c>
      <c r="F117" t="s">
        <v>505</v>
      </c>
      <c r="G117" t="str">
        <f t="shared" si="3"/>
        <v>JO</v>
      </c>
      <c r="H117" s="462"/>
      <c r="K117" t="s">
        <v>4769</v>
      </c>
      <c r="V117" s="462"/>
      <c r="Z117" t="s">
        <v>2861</v>
      </c>
      <c r="AA117" t="s">
        <v>3893</v>
      </c>
    </row>
    <row r="118" spans="1:27" x14ac:dyDescent="0.3">
      <c r="A118" s="327" t="s">
        <v>506</v>
      </c>
      <c r="B118" t="s">
        <v>507</v>
      </c>
      <c r="C118" s="323" t="s">
        <v>3227</v>
      </c>
      <c r="D118" s="327" t="str">
        <f t="shared" si="2"/>
        <v>NACE C - 10.82 Manufacture of cocoa, chocolate and sugar confectionery</v>
      </c>
      <c r="E118" s="324" t="s">
        <v>508</v>
      </c>
      <c r="F118" t="s">
        <v>509</v>
      </c>
      <c r="G118" t="str">
        <f t="shared" si="3"/>
        <v>JP</v>
      </c>
      <c r="H118" s="462"/>
      <c r="K118" t="s">
        <v>4770</v>
      </c>
      <c r="V118" s="89"/>
      <c r="Z118" t="s">
        <v>2862</v>
      </c>
      <c r="AA118" t="s">
        <v>3894</v>
      </c>
    </row>
    <row r="119" spans="1:27" x14ac:dyDescent="0.3">
      <c r="A119" s="327" t="s">
        <v>510</v>
      </c>
      <c r="B119" t="s">
        <v>511</v>
      </c>
      <c r="C119" s="326" t="s">
        <v>3228</v>
      </c>
      <c r="D119" s="327" t="str">
        <f t="shared" si="2"/>
        <v>NACE C - 10.83 Processing of tea and coffee</v>
      </c>
      <c r="E119" s="324" t="s">
        <v>512</v>
      </c>
      <c r="F119" t="s">
        <v>513</v>
      </c>
      <c r="G119" t="str">
        <f t="shared" si="3"/>
        <v>KE</v>
      </c>
      <c r="H119" s="89"/>
      <c r="K119" t="s">
        <v>4771</v>
      </c>
      <c r="V119" s="462"/>
      <c r="Z119" t="s">
        <v>2749</v>
      </c>
      <c r="AA119" t="s">
        <v>3895</v>
      </c>
    </row>
    <row r="120" spans="1:27" x14ac:dyDescent="0.3">
      <c r="A120" s="327" t="s">
        <v>514</v>
      </c>
      <c r="B120" t="s">
        <v>515</v>
      </c>
      <c r="C120" s="326" t="s">
        <v>3229</v>
      </c>
      <c r="D120" s="327" t="str">
        <f t="shared" si="2"/>
        <v>NACE C - 10.84 Manufacture of condiments and seasonings</v>
      </c>
      <c r="E120" s="324" t="s">
        <v>516</v>
      </c>
      <c r="F120" t="s">
        <v>517</v>
      </c>
      <c r="G120" t="str">
        <f t="shared" si="3"/>
        <v>KG</v>
      </c>
      <c r="H120" s="462"/>
      <c r="K120" t="s">
        <v>4772</v>
      </c>
      <c r="V120" s="462"/>
      <c r="Z120" t="s">
        <v>2863</v>
      </c>
      <c r="AA120" t="s">
        <v>3896</v>
      </c>
    </row>
    <row r="121" spans="1:27" x14ac:dyDescent="0.3">
      <c r="A121" s="327" t="s">
        <v>518</v>
      </c>
      <c r="B121" t="s">
        <v>519</v>
      </c>
      <c r="C121" s="326" t="s">
        <v>3230</v>
      </c>
      <c r="D121" s="327" t="str">
        <f t="shared" si="2"/>
        <v>NACE C - 10.85 Manufacture of prepared meals and dishes</v>
      </c>
      <c r="E121" s="324" t="s">
        <v>520</v>
      </c>
      <c r="F121" t="s">
        <v>521</v>
      </c>
      <c r="G121" t="str">
        <f t="shared" si="3"/>
        <v>KH</v>
      </c>
      <c r="H121" s="462"/>
      <c r="K121" t="s">
        <v>4773</v>
      </c>
      <c r="V121" s="462"/>
      <c r="Z121" t="s">
        <v>2864</v>
      </c>
      <c r="AA121" t="s">
        <v>3897</v>
      </c>
    </row>
    <row r="122" spans="1:27" x14ac:dyDescent="0.3">
      <c r="A122" s="327" t="s">
        <v>522</v>
      </c>
      <c r="B122" t="s">
        <v>523</v>
      </c>
      <c r="C122" s="326" t="s">
        <v>3231</v>
      </c>
      <c r="D122" s="327" t="str">
        <f t="shared" si="2"/>
        <v>NACE C - 10.86 Manufacture of homogenised food preparations and dietetic food</v>
      </c>
      <c r="E122" s="324" t="s">
        <v>524</v>
      </c>
      <c r="F122" t="s">
        <v>525</v>
      </c>
      <c r="G122" t="str">
        <f t="shared" si="3"/>
        <v>KI</v>
      </c>
      <c r="H122" s="462"/>
      <c r="K122" t="s">
        <v>4774</v>
      </c>
      <c r="V122" s="462"/>
      <c r="Z122" t="s">
        <v>2865</v>
      </c>
      <c r="AA122" t="s">
        <v>3898</v>
      </c>
    </row>
    <row r="123" spans="1:27" x14ac:dyDescent="0.3">
      <c r="A123" s="327" t="s">
        <v>526</v>
      </c>
      <c r="B123" t="s">
        <v>527</v>
      </c>
      <c r="C123" s="326" t="s">
        <v>3232</v>
      </c>
      <c r="D123" s="327" t="str">
        <f t="shared" si="2"/>
        <v>NACE C - 10.89 Manufacture of other food products n.e.c.</v>
      </c>
      <c r="E123" s="324" t="s">
        <v>528</v>
      </c>
      <c r="F123" t="s">
        <v>529</v>
      </c>
      <c r="G123" t="str">
        <f t="shared" si="3"/>
        <v>KM</v>
      </c>
      <c r="H123" s="462"/>
      <c r="K123" t="s">
        <v>4775</v>
      </c>
      <c r="V123" s="462"/>
      <c r="Z123" t="s">
        <v>2866</v>
      </c>
      <c r="AA123" t="s">
        <v>3899</v>
      </c>
    </row>
    <row r="124" spans="1:27" x14ac:dyDescent="0.3">
      <c r="A124" s="326" t="s">
        <v>530</v>
      </c>
      <c r="B124" t="s">
        <v>531</v>
      </c>
      <c r="C124" s="326" t="s">
        <v>3233</v>
      </c>
      <c r="D124" s="326" t="str">
        <f t="shared" si="2"/>
        <v>NACE C - 10.9 Manufacture of prepared animal feeds</v>
      </c>
      <c r="E124" s="324" t="s">
        <v>532</v>
      </c>
      <c r="F124" t="s">
        <v>533</v>
      </c>
      <c r="G124" t="str">
        <f t="shared" si="3"/>
        <v>KN</v>
      </c>
      <c r="H124" s="462"/>
      <c r="K124" t="s">
        <v>4641</v>
      </c>
      <c r="V124" s="89"/>
      <c r="Z124" t="s">
        <v>2867</v>
      </c>
      <c r="AA124" t="s">
        <v>3900</v>
      </c>
    </row>
    <row r="125" spans="1:27" x14ac:dyDescent="0.3">
      <c r="A125" s="327" t="s">
        <v>534</v>
      </c>
      <c r="B125" t="s">
        <v>535</v>
      </c>
      <c r="C125" s="323" t="s">
        <v>3234</v>
      </c>
      <c r="D125" s="327" t="str">
        <f t="shared" si="2"/>
        <v>NACE C - 10.91 Manufacture of prepared feeds for farm animals</v>
      </c>
      <c r="E125" s="324" t="s">
        <v>536</v>
      </c>
      <c r="F125" t="s">
        <v>537</v>
      </c>
      <c r="G125" t="str">
        <f t="shared" si="3"/>
        <v>KP</v>
      </c>
      <c r="H125" s="89"/>
      <c r="K125" t="s">
        <v>4776</v>
      </c>
      <c r="V125" s="462"/>
      <c r="Z125" t="s">
        <v>2868</v>
      </c>
      <c r="AA125" t="s">
        <v>3901</v>
      </c>
    </row>
    <row r="126" spans="1:27" x14ac:dyDescent="0.3">
      <c r="A126" s="327" t="s">
        <v>538</v>
      </c>
      <c r="B126" t="s">
        <v>539</v>
      </c>
      <c r="C126" s="326" t="s">
        <v>3235</v>
      </c>
      <c r="D126" s="327" t="str">
        <f t="shared" si="2"/>
        <v>NACE C - 10.92 Manufacture of prepared pet foods</v>
      </c>
      <c r="E126" s="324" t="s">
        <v>540</v>
      </c>
      <c r="F126" t="s">
        <v>541</v>
      </c>
      <c r="G126" t="str">
        <f t="shared" si="3"/>
        <v>KR</v>
      </c>
      <c r="H126" s="462"/>
      <c r="K126" t="s">
        <v>4777</v>
      </c>
      <c r="V126" s="462"/>
      <c r="Z126" t="s">
        <v>2869</v>
      </c>
      <c r="AA126" t="s">
        <v>3902</v>
      </c>
    </row>
    <row r="127" spans="1:27" x14ac:dyDescent="0.3">
      <c r="A127" s="323" t="s">
        <v>542</v>
      </c>
      <c r="B127" t="s">
        <v>543</v>
      </c>
      <c r="C127" s="326" t="s">
        <v>3236</v>
      </c>
      <c r="D127" s="323" t="str">
        <f t="shared" si="2"/>
        <v>NACE C - 11 Manufacture of beverages</v>
      </c>
      <c r="E127" s="324" t="s">
        <v>544</v>
      </c>
      <c r="F127" t="s">
        <v>545</v>
      </c>
      <c r="G127" t="str">
        <f t="shared" si="3"/>
        <v>KW</v>
      </c>
      <c r="H127" s="462"/>
      <c r="K127" t="s">
        <v>4778</v>
      </c>
      <c r="V127" s="462"/>
      <c r="Z127" t="s">
        <v>2870</v>
      </c>
      <c r="AA127" t="s">
        <v>3903</v>
      </c>
    </row>
    <row r="128" spans="1:27" x14ac:dyDescent="0.3">
      <c r="A128" s="326" t="s">
        <v>546</v>
      </c>
      <c r="B128" t="s">
        <v>547</v>
      </c>
      <c r="C128" s="326" t="s">
        <v>3237</v>
      </c>
      <c r="D128" s="326" t="str">
        <f t="shared" si="2"/>
        <v>NACE C - 11.0 Manufacture of beverages</v>
      </c>
      <c r="E128" s="324" t="s">
        <v>548</v>
      </c>
      <c r="F128" t="s">
        <v>549</v>
      </c>
      <c r="G128" t="str">
        <f t="shared" si="3"/>
        <v>KY</v>
      </c>
      <c r="H128" s="462"/>
      <c r="K128" t="s">
        <v>4779</v>
      </c>
      <c r="V128" s="462"/>
      <c r="Z128" t="s">
        <v>2871</v>
      </c>
      <c r="AA128" t="s">
        <v>3904</v>
      </c>
    </row>
    <row r="129" spans="1:27" x14ac:dyDescent="0.3">
      <c r="A129" s="327" t="s">
        <v>550</v>
      </c>
      <c r="B129" t="s">
        <v>551</v>
      </c>
      <c r="C129" s="326" t="s">
        <v>3238</v>
      </c>
      <c r="D129" s="327" t="str">
        <f t="shared" si="2"/>
        <v>NACE C - 11.01 Distilling, rectifying and blending of spirits</v>
      </c>
      <c r="E129" s="324" t="s">
        <v>552</v>
      </c>
      <c r="F129" t="s">
        <v>553</v>
      </c>
      <c r="G129" t="str">
        <f t="shared" si="3"/>
        <v>KZ</v>
      </c>
      <c r="H129" s="462"/>
      <c r="K129" t="s">
        <v>4780</v>
      </c>
      <c r="V129" s="462"/>
      <c r="Z129" t="s">
        <v>2872</v>
      </c>
      <c r="AA129" t="s">
        <v>3905</v>
      </c>
    </row>
    <row r="130" spans="1:27" x14ac:dyDescent="0.3">
      <c r="A130" s="327" t="s">
        <v>554</v>
      </c>
      <c r="B130" t="s">
        <v>555</v>
      </c>
      <c r="C130" s="326" t="s">
        <v>3239</v>
      </c>
      <c r="D130" s="327" t="str">
        <f t="shared" ref="D130:D193" si="4">_xlfn.CONCAT("NACE ", A130)</f>
        <v>NACE C - 11.02 Manufacture of wine from grape</v>
      </c>
      <c r="E130" s="324" t="s">
        <v>556</v>
      </c>
      <c r="F130" t="s">
        <v>557</v>
      </c>
      <c r="G130" t="str">
        <f t="shared" si="3"/>
        <v>LA</v>
      </c>
      <c r="H130" s="462"/>
      <c r="K130" t="s">
        <v>4781</v>
      </c>
      <c r="V130" s="89"/>
      <c r="Z130" t="s">
        <v>2750</v>
      </c>
      <c r="AA130" t="s">
        <v>3906</v>
      </c>
    </row>
    <row r="131" spans="1:27" x14ac:dyDescent="0.3">
      <c r="A131" s="327" t="s">
        <v>558</v>
      </c>
      <c r="B131" t="s">
        <v>559</v>
      </c>
      <c r="C131" s="323" t="s">
        <v>3240</v>
      </c>
      <c r="D131" s="327" t="str">
        <f t="shared" si="4"/>
        <v>NACE C - 11.03 Manufacture of cider and other fermented fruit beverages</v>
      </c>
      <c r="E131" s="324" t="s">
        <v>560</v>
      </c>
      <c r="F131" t="s">
        <v>561</v>
      </c>
      <c r="G131" t="str">
        <f t="shared" ref="G131:G194" si="5">RIGHT(F131,2)</f>
        <v>LB</v>
      </c>
      <c r="H131" s="89"/>
      <c r="K131" t="s">
        <v>4782</v>
      </c>
      <c r="V131" s="462"/>
      <c r="Z131" t="s">
        <v>2873</v>
      </c>
      <c r="AA131" t="s">
        <v>3907</v>
      </c>
    </row>
    <row r="132" spans="1:27" x14ac:dyDescent="0.3">
      <c r="A132" s="327" t="s">
        <v>562</v>
      </c>
      <c r="B132" t="s">
        <v>563</v>
      </c>
      <c r="C132" s="326" t="s">
        <v>3241</v>
      </c>
      <c r="D132" s="327" t="str">
        <f t="shared" si="4"/>
        <v>NACE C - 11.04 Manufacture of other non-distilled fermented beverages</v>
      </c>
      <c r="E132" s="324" t="s">
        <v>564</v>
      </c>
      <c r="F132" t="s">
        <v>565</v>
      </c>
      <c r="G132" t="str">
        <f t="shared" si="5"/>
        <v>LC</v>
      </c>
      <c r="H132" s="462"/>
      <c r="K132" t="s">
        <v>4783</v>
      </c>
      <c r="V132" s="462"/>
      <c r="Z132" t="s">
        <v>2874</v>
      </c>
      <c r="AA132" t="s">
        <v>3908</v>
      </c>
    </row>
    <row r="133" spans="1:27" x14ac:dyDescent="0.3">
      <c r="A133" s="327" t="s">
        <v>566</v>
      </c>
      <c r="B133" t="s">
        <v>567</v>
      </c>
      <c r="C133" s="326" t="s">
        <v>3242</v>
      </c>
      <c r="D133" s="327" t="str">
        <f t="shared" si="4"/>
        <v>NACE C - 11.05 Manufacture of beer</v>
      </c>
      <c r="E133" s="324" t="s">
        <v>568</v>
      </c>
      <c r="F133" t="s">
        <v>569</v>
      </c>
      <c r="G133" t="str">
        <f t="shared" si="5"/>
        <v>LI</v>
      </c>
      <c r="H133" s="462"/>
      <c r="K133" t="s">
        <v>4784</v>
      </c>
      <c r="V133" s="462"/>
      <c r="Z133" t="s">
        <v>2875</v>
      </c>
      <c r="AA133" t="s">
        <v>3909</v>
      </c>
    </row>
    <row r="134" spans="1:27" x14ac:dyDescent="0.3">
      <c r="A134" s="327" t="s">
        <v>570</v>
      </c>
      <c r="B134" t="s">
        <v>571</v>
      </c>
      <c r="C134" s="326" t="s">
        <v>3243</v>
      </c>
      <c r="D134" s="327" t="str">
        <f t="shared" si="4"/>
        <v>NACE C - 11.06 Manufacture of malt</v>
      </c>
      <c r="E134" s="324" t="s">
        <v>572</v>
      </c>
      <c r="F134" t="s">
        <v>573</v>
      </c>
      <c r="G134" t="str">
        <f t="shared" si="5"/>
        <v>LK</v>
      </c>
      <c r="H134" s="462"/>
      <c r="K134" t="s">
        <v>4785</v>
      </c>
      <c r="V134" s="89"/>
      <c r="AA134" t="s">
        <v>3910</v>
      </c>
    </row>
    <row r="135" spans="1:27" x14ac:dyDescent="0.3">
      <c r="A135" s="327" t="s">
        <v>574</v>
      </c>
      <c r="B135" t="s">
        <v>575</v>
      </c>
      <c r="C135" s="323" t="s">
        <v>3244</v>
      </c>
      <c r="D135" s="327" t="str">
        <f t="shared" si="4"/>
        <v>NACE C - 11.07 Manufacture of soft drinks and bottled waters</v>
      </c>
      <c r="E135" s="324" t="s">
        <v>576</v>
      </c>
      <c r="F135" t="s">
        <v>577</v>
      </c>
      <c r="G135" t="str">
        <f t="shared" si="5"/>
        <v>LR</v>
      </c>
      <c r="H135" s="89"/>
      <c r="K135" t="s">
        <v>4786</v>
      </c>
      <c r="V135" s="462"/>
      <c r="AA135" t="s">
        <v>3911</v>
      </c>
    </row>
    <row r="136" spans="1:27" x14ac:dyDescent="0.3">
      <c r="A136" s="323" t="s">
        <v>578</v>
      </c>
      <c r="B136" t="s">
        <v>579</v>
      </c>
      <c r="C136" s="326" t="s">
        <v>3245</v>
      </c>
      <c r="D136" s="323" t="str">
        <f t="shared" si="4"/>
        <v>NACE C - 12 Manufacture of tobacco products</v>
      </c>
      <c r="E136" s="324" t="s">
        <v>580</v>
      </c>
      <c r="F136" t="s">
        <v>581</v>
      </c>
      <c r="G136" t="str">
        <f t="shared" si="5"/>
        <v>LS</v>
      </c>
      <c r="H136" s="462"/>
      <c r="K136" t="s">
        <v>4787</v>
      </c>
      <c r="V136" s="462"/>
      <c r="AA136" t="s">
        <v>3912</v>
      </c>
    </row>
    <row r="137" spans="1:27" x14ac:dyDescent="0.3">
      <c r="A137" s="326" t="s">
        <v>582</v>
      </c>
      <c r="B137" t="s">
        <v>583</v>
      </c>
      <c r="C137" s="326" t="s">
        <v>3246</v>
      </c>
      <c r="D137" s="326" t="str">
        <f t="shared" si="4"/>
        <v>NACE C - 12.0 Manufacture of tobacco products</v>
      </c>
      <c r="E137" s="324" t="s">
        <v>584</v>
      </c>
      <c r="F137" t="s">
        <v>585</v>
      </c>
      <c r="G137" t="str">
        <f t="shared" si="5"/>
        <v>LT</v>
      </c>
      <c r="H137" s="462"/>
      <c r="K137" t="s">
        <v>4788</v>
      </c>
      <c r="V137" s="461"/>
      <c r="AA137" t="s">
        <v>3913</v>
      </c>
    </row>
    <row r="138" spans="1:27" x14ac:dyDescent="0.3">
      <c r="A138" s="327" t="s">
        <v>586</v>
      </c>
      <c r="B138" t="s">
        <v>587</v>
      </c>
      <c r="C138" s="326" t="s">
        <v>3247</v>
      </c>
      <c r="D138" s="327" t="str">
        <f t="shared" si="4"/>
        <v>NACE C - 12.00 Manufacture of tobacco products</v>
      </c>
      <c r="E138" s="324" t="s">
        <v>588</v>
      </c>
      <c r="F138" t="s">
        <v>589</v>
      </c>
      <c r="G138" t="str">
        <f t="shared" si="5"/>
        <v>LU</v>
      </c>
      <c r="H138" s="461"/>
      <c r="K138" t="s">
        <v>4789</v>
      </c>
      <c r="V138" s="462"/>
      <c r="AA138" t="s">
        <v>3914</v>
      </c>
    </row>
    <row r="139" spans="1:27" x14ac:dyDescent="0.3">
      <c r="A139" s="323" t="s">
        <v>590</v>
      </c>
      <c r="B139" t="s">
        <v>591</v>
      </c>
      <c r="C139" s="326" t="s">
        <v>3248</v>
      </c>
      <c r="D139" s="323" t="str">
        <f t="shared" si="4"/>
        <v>NACE C - 13 Manufacture of textiles</v>
      </c>
      <c r="E139" s="324" t="s">
        <v>592</v>
      </c>
      <c r="F139" t="s">
        <v>593</v>
      </c>
      <c r="G139" t="str">
        <f t="shared" si="5"/>
        <v>LV</v>
      </c>
      <c r="H139" s="462"/>
      <c r="K139" t="s">
        <v>4790</v>
      </c>
      <c r="V139" s="89"/>
      <c r="AA139" t="s">
        <v>3915</v>
      </c>
    </row>
    <row r="140" spans="1:27" x14ac:dyDescent="0.3">
      <c r="A140" s="326" t="s">
        <v>594</v>
      </c>
      <c r="B140" t="s">
        <v>595</v>
      </c>
      <c r="C140" s="326" t="s">
        <v>3249</v>
      </c>
      <c r="D140" s="326" t="str">
        <f t="shared" si="4"/>
        <v>NACE C - 13.1 Preparation and spinning of textile fibres</v>
      </c>
      <c r="E140" s="324" t="s">
        <v>596</v>
      </c>
      <c r="F140" t="s">
        <v>597</v>
      </c>
      <c r="G140" t="str">
        <f t="shared" si="5"/>
        <v>LY</v>
      </c>
      <c r="H140" s="89"/>
      <c r="K140" t="s">
        <v>4791</v>
      </c>
      <c r="V140" s="462"/>
      <c r="AA140" t="s">
        <v>3916</v>
      </c>
    </row>
    <row r="141" spans="1:27" x14ac:dyDescent="0.3">
      <c r="A141" s="327" t="s">
        <v>598</v>
      </c>
      <c r="B141" t="s">
        <v>599</v>
      </c>
      <c r="C141" s="323" t="s">
        <v>3250</v>
      </c>
      <c r="D141" s="327" t="str">
        <f t="shared" si="4"/>
        <v>NACE C - 13.10 Preparation and spinning of textile fibres</v>
      </c>
      <c r="E141" s="324" t="s">
        <v>600</v>
      </c>
      <c r="F141" t="s">
        <v>601</v>
      </c>
      <c r="G141" t="str">
        <f t="shared" si="5"/>
        <v>MA</v>
      </c>
      <c r="H141" s="462"/>
      <c r="K141" t="s">
        <v>4792</v>
      </c>
      <c r="V141" s="462"/>
      <c r="AA141" t="s">
        <v>3917</v>
      </c>
    </row>
    <row r="142" spans="1:27" x14ac:dyDescent="0.3">
      <c r="A142" s="326" t="s">
        <v>602</v>
      </c>
      <c r="B142" t="s">
        <v>603</v>
      </c>
      <c r="C142" s="326" t="s">
        <v>3251</v>
      </c>
      <c r="D142" s="326" t="str">
        <f t="shared" si="4"/>
        <v>NACE C - 13.2 Weaving of textiles</v>
      </c>
      <c r="E142" s="324" t="s">
        <v>604</v>
      </c>
      <c r="F142" t="s">
        <v>605</v>
      </c>
      <c r="G142" t="str">
        <f t="shared" si="5"/>
        <v>MC</v>
      </c>
      <c r="H142" s="462"/>
      <c r="K142" t="s">
        <v>4793</v>
      </c>
      <c r="V142" s="461"/>
      <c r="AA142" t="s">
        <v>3918</v>
      </c>
    </row>
    <row r="143" spans="1:27" x14ac:dyDescent="0.3">
      <c r="A143" s="327" t="s">
        <v>606</v>
      </c>
      <c r="B143" t="s">
        <v>607</v>
      </c>
      <c r="C143" s="323" t="s">
        <v>3252</v>
      </c>
      <c r="D143" s="327" t="str">
        <f t="shared" si="4"/>
        <v>NACE C - 13.20 Weaving of textiles</v>
      </c>
      <c r="E143" s="324" t="s">
        <v>608</v>
      </c>
      <c r="F143" t="s">
        <v>609</v>
      </c>
      <c r="G143" t="str">
        <f t="shared" si="5"/>
        <v>MD</v>
      </c>
      <c r="H143" s="461"/>
      <c r="K143" t="s">
        <v>4794</v>
      </c>
      <c r="V143" s="462"/>
      <c r="AA143" t="s">
        <v>3919</v>
      </c>
    </row>
    <row r="144" spans="1:27" x14ac:dyDescent="0.3">
      <c r="A144" s="326" t="s">
        <v>610</v>
      </c>
      <c r="B144" t="s">
        <v>611</v>
      </c>
      <c r="C144" s="326" t="s">
        <v>3253</v>
      </c>
      <c r="D144" s="326" t="str">
        <f t="shared" si="4"/>
        <v>NACE C - 13.3 Finishing of textiles</v>
      </c>
      <c r="E144" s="324" t="s">
        <v>612</v>
      </c>
      <c r="F144" t="s">
        <v>613</v>
      </c>
      <c r="G144" t="str">
        <f t="shared" si="5"/>
        <v>ME</v>
      </c>
      <c r="H144" s="462"/>
      <c r="K144" t="s">
        <v>4795</v>
      </c>
      <c r="V144" s="462"/>
      <c r="AA144" t="s">
        <v>3920</v>
      </c>
    </row>
    <row r="145" spans="1:27" x14ac:dyDescent="0.3">
      <c r="A145" s="327" t="s">
        <v>614</v>
      </c>
      <c r="B145" t="s">
        <v>615</v>
      </c>
      <c r="C145" s="326" t="s">
        <v>3254</v>
      </c>
      <c r="D145" s="327" t="str">
        <f t="shared" si="4"/>
        <v>NACE C - 13.30 Finishing of textiles</v>
      </c>
      <c r="E145" s="324" t="s">
        <v>616</v>
      </c>
      <c r="F145" t="s">
        <v>617</v>
      </c>
      <c r="G145" t="str">
        <f t="shared" si="5"/>
        <v>MF</v>
      </c>
      <c r="H145" s="462"/>
      <c r="K145" t="s">
        <v>4796</v>
      </c>
      <c r="V145" s="461"/>
      <c r="AA145" t="s">
        <v>3921</v>
      </c>
    </row>
    <row r="146" spans="1:27" x14ac:dyDescent="0.3">
      <c r="A146" s="326" t="s">
        <v>618</v>
      </c>
      <c r="B146" t="s">
        <v>619</v>
      </c>
      <c r="C146" s="326" t="s">
        <v>3255</v>
      </c>
      <c r="D146" s="326" t="str">
        <f t="shared" si="4"/>
        <v>NACE C - 13.9 Manufacture of other textiles</v>
      </c>
      <c r="E146" s="324" t="s">
        <v>620</v>
      </c>
      <c r="F146" t="s">
        <v>621</v>
      </c>
      <c r="G146" t="str">
        <f t="shared" si="5"/>
        <v>MG</v>
      </c>
      <c r="H146" s="461"/>
      <c r="K146" t="s">
        <v>4797</v>
      </c>
      <c r="V146" s="89"/>
      <c r="AA146" t="s">
        <v>3922</v>
      </c>
    </row>
    <row r="147" spans="1:27" x14ac:dyDescent="0.3">
      <c r="A147" s="327" t="s">
        <v>622</v>
      </c>
      <c r="B147" t="s">
        <v>623</v>
      </c>
      <c r="C147" s="326" t="s">
        <v>3256</v>
      </c>
      <c r="D147" s="327" t="str">
        <f t="shared" si="4"/>
        <v>NACE C - 13.91 Manufacture of knitted and crocheted fabrics</v>
      </c>
      <c r="E147" s="324" t="s">
        <v>624</v>
      </c>
      <c r="F147" t="s">
        <v>625</v>
      </c>
      <c r="G147" t="str">
        <f t="shared" si="5"/>
        <v>MH</v>
      </c>
      <c r="H147" s="89"/>
      <c r="K147" t="s">
        <v>4798</v>
      </c>
      <c r="V147" s="462"/>
      <c r="AA147" t="s">
        <v>3923</v>
      </c>
    </row>
    <row r="148" spans="1:27" x14ac:dyDescent="0.3">
      <c r="A148" s="327" t="s">
        <v>626</v>
      </c>
      <c r="B148" t="s">
        <v>627</v>
      </c>
      <c r="C148" s="326" t="s">
        <v>3257</v>
      </c>
      <c r="D148" s="327" t="str">
        <f t="shared" si="4"/>
        <v>NACE C - 13.92 Manufacture of household textiles and made-up furnishing articles</v>
      </c>
      <c r="E148" s="324" t="s">
        <v>628</v>
      </c>
      <c r="F148" t="s">
        <v>629</v>
      </c>
      <c r="G148" t="str">
        <f t="shared" si="5"/>
        <v>MK</v>
      </c>
      <c r="H148" s="462"/>
      <c r="K148" t="s">
        <v>4799</v>
      </c>
      <c r="V148" s="462"/>
      <c r="AA148" t="s">
        <v>3924</v>
      </c>
    </row>
    <row r="149" spans="1:27" x14ac:dyDescent="0.3">
      <c r="A149" s="327" t="s">
        <v>630</v>
      </c>
      <c r="B149" t="s">
        <v>631</v>
      </c>
      <c r="C149" s="326" t="s">
        <v>3258</v>
      </c>
      <c r="D149" s="327" t="str">
        <f t="shared" si="4"/>
        <v>NACE C - 13.93 Manufacture of carpets and rugs</v>
      </c>
      <c r="E149" s="324" t="s">
        <v>632</v>
      </c>
      <c r="F149" t="s">
        <v>633</v>
      </c>
      <c r="G149" t="str">
        <f t="shared" si="5"/>
        <v>ML</v>
      </c>
      <c r="H149" s="462"/>
      <c r="K149" t="s">
        <v>4800</v>
      </c>
      <c r="V149" s="462"/>
      <c r="AA149" t="s">
        <v>3925</v>
      </c>
    </row>
    <row r="150" spans="1:27" x14ac:dyDescent="0.3">
      <c r="A150" s="327" t="s">
        <v>634</v>
      </c>
      <c r="B150" t="s">
        <v>635</v>
      </c>
      <c r="C150" s="323" t="s">
        <v>3259</v>
      </c>
      <c r="D150" s="327" t="str">
        <f t="shared" si="4"/>
        <v>NACE C - 13.94 Manufacture of cordage, rope, twine and netting</v>
      </c>
      <c r="E150" s="324" t="s">
        <v>636</v>
      </c>
      <c r="F150" t="s">
        <v>637</v>
      </c>
      <c r="G150" t="str">
        <f t="shared" si="5"/>
        <v>MM</v>
      </c>
      <c r="H150" s="462"/>
      <c r="K150" t="s">
        <v>4801</v>
      </c>
      <c r="V150" s="461"/>
      <c r="AA150" t="s">
        <v>3926</v>
      </c>
    </row>
    <row r="151" spans="1:27" x14ac:dyDescent="0.3">
      <c r="A151" s="327" t="s">
        <v>638</v>
      </c>
      <c r="B151" t="s">
        <v>639</v>
      </c>
      <c r="C151" s="326" t="s">
        <v>3260</v>
      </c>
      <c r="D151" s="327" t="str">
        <f t="shared" si="4"/>
        <v>NACE C - 13.95 Manufacture of non-wovens and non-woven articles</v>
      </c>
      <c r="E151" s="324" t="s">
        <v>640</v>
      </c>
      <c r="F151" t="s">
        <v>641</v>
      </c>
      <c r="G151" t="str">
        <f t="shared" si="5"/>
        <v>MN</v>
      </c>
      <c r="H151" s="461"/>
      <c r="K151" t="s">
        <v>4802</v>
      </c>
      <c r="V151" s="461"/>
      <c r="AA151" t="s">
        <v>3927</v>
      </c>
    </row>
    <row r="152" spans="1:27" x14ac:dyDescent="0.3">
      <c r="A152" s="327" t="s">
        <v>642</v>
      </c>
      <c r="B152" t="s">
        <v>643</v>
      </c>
      <c r="C152" s="326" t="s">
        <v>3261</v>
      </c>
      <c r="D152" s="327" t="str">
        <f t="shared" si="4"/>
        <v>NACE C - 13.96 Manufacture of other technical and industrial textiles</v>
      </c>
      <c r="E152" s="324" t="s">
        <v>644</v>
      </c>
      <c r="F152" t="s">
        <v>645</v>
      </c>
      <c r="G152" t="str">
        <f t="shared" si="5"/>
        <v>MO</v>
      </c>
      <c r="H152" s="461"/>
      <c r="K152" t="s">
        <v>4642</v>
      </c>
      <c r="V152" s="461"/>
      <c r="AA152" t="s">
        <v>3928</v>
      </c>
    </row>
    <row r="153" spans="1:27" x14ac:dyDescent="0.3">
      <c r="A153" s="327" t="s">
        <v>646</v>
      </c>
      <c r="B153" t="s">
        <v>647</v>
      </c>
      <c r="C153" s="324" t="s">
        <v>3144</v>
      </c>
      <c r="D153" s="327" t="str">
        <f t="shared" si="4"/>
        <v>NACE C - 13.99 Manufacture of other textiles n.e.c.</v>
      </c>
      <c r="E153" s="324" t="s">
        <v>648</v>
      </c>
      <c r="F153" t="s">
        <v>649</v>
      </c>
      <c r="G153" t="str">
        <f t="shared" si="5"/>
        <v>MP</v>
      </c>
      <c r="H153" s="461"/>
      <c r="K153" t="s">
        <v>4803</v>
      </c>
      <c r="V153" s="462"/>
      <c r="AA153" t="s">
        <v>3929</v>
      </c>
    </row>
    <row r="154" spans="1:27" x14ac:dyDescent="0.3">
      <c r="A154" s="323" t="s">
        <v>650</v>
      </c>
      <c r="B154" t="s">
        <v>651</v>
      </c>
      <c r="C154" s="323" t="s">
        <v>3263</v>
      </c>
      <c r="D154" s="323" t="str">
        <f t="shared" si="4"/>
        <v>NACE C - 14 Manufacture of wearing apparel</v>
      </c>
      <c r="E154" s="324" t="s">
        <v>652</v>
      </c>
      <c r="F154" t="s">
        <v>653</v>
      </c>
      <c r="G154" t="str">
        <f t="shared" si="5"/>
        <v>MQ</v>
      </c>
      <c r="H154" s="462"/>
      <c r="K154" t="s">
        <v>4804</v>
      </c>
      <c r="V154" s="462"/>
      <c r="AA154" t="s">
        <v>3930</v>
      </c>
    </row>
    <row r="155" spans="1:27" x14ac:dyDescent="0.3">
      <c r="A155" s="326" t="s">
        <v>654</v>
      </c>
      <c r="B155" t="s">
        <v>655</v>
      </c>
      <c r="C155" s="326" t="s">
        <v>3264</v>
      </c>
      <c r="D155" s="326" t="str">
        <f t="shared" si="4"/>
        <v>NACE C - 14.1 Manufacture of knitted and crocheted apparel</v>
      </c>
      <c r="E155" s="324" t="s">
        <v>656</v>
      </c>
      <c r="F155" t="s">
        <v>657</v>
      </c>
      <c r="G155" t="str">
        <f t="shared" si="5"/>
        <v>MR</v>
      </c>
      <c r="H155" s="462"/>
      <c r="K155" t="s">
        <v>4805</v>
      </c>
      <c r="V155" s="89"/>
      <c r="AA155" t="s">
        <v>3931</v>
      </c>
    </row>
    <row r="156" spans="1:27" x14ac:dyDescent="0.3">
      <c r="A156" s="327" t="s">
        <v>658</v>
      </c>
      <c r="B156" t="s">
        <v>659</v>
      </c>
      <c r="C156" s="326" t="s">
        <v>3265</v>
      </c>
      <c r="D156" s="327" t="str">
        <f t="shared" si="4"/>
        <v>NACE C - 14.10 Manufacture of knitted and crocheted apparel</v>
      </c>
      <c r="E156" s="324" t="s">
        <v>660</v>
      </c>
      <c r="F156" t="s">
        <v>661</v>
      </c>
      <c r="G156" t="str">
        <f t="shared" si="5"/>
        <v>MS</v>
      </c>
      <c r="H156" s="89"/>
      <c r="K156" t="s">
        <v>4806</v>
      </c>
      <c r="V156" s="462"/>
      <c r="AA156" t="s">
        <v>3932</v>
      </c>
    </row>
    <row r="157" spans="1:27" x14ac:dyDescent="0.3">
      <c r="A157" s="326" t="s">
        <v>662</v>
      </c>
      <c r="B157" t="s">
        <v>663</v>
      </c>
      <c r="C157" s="326" t="s">
        <v>3266</v>
      </c>
      <c r="D157" s="326" t="str">
        <f t="shared" si="4"/>
        <v>NACE C - 14.2 Manufacture of other wearing apparel and accessories</v>
      </c>
      <c r="E157" s="324" t="s">
        <v>664</v>
      </c>
      <c r="F157" t="s">
        <v>665</v>
      </c>
      <c r="G157" t="str">
        <f t="shared" si="5"/>
        <v>MT</v>
      </c>
      <c r="H157" s="462"/>
      <c r="K157" t="s">
        <v>4807</v>
      </c>
      <c r="V157" s="89"/>
      <c r="AA157" t="s">
        <v>3933</v>
      </c>
    </row>
    <row r="158" spans="1:27" x14ac:dyDescent="0.3">
      <c r="A158" s="327" t="s">
        <v>666</v>
      </c>
      <c r="B158" t="s">
        <v>667</v>
      </c>
      <c r="C158" s="326" t="s">
        <v>3267</v>
      </c>
      <c r="D158" s="327" t="str">
        <f t="shared" si="4"/>
        <v>NACE C - 14.21 Manufacture of outerwear</v>
      </c>
      <c r="E158" s="324" t="s">
        <v>668</v>
      </c>
      <c r="F158" t="s">
        <v>669</v>
      </c>
      <c r="G158" t="str">
        <f t="shared" si="5"/>
        <v>MU</v>
      </c>
      <c r="H158" s="89"/>
      <c r="K158" t="s">
        <v>4808</v>
      </c>
      <c r="V158" s="89"/>
      <c r="AA158" t="s">
        <v>3934</v>
      </c>
    </row>
    <row r="159" spans="1:27" x14ac:dyDescent="0.3">
      <c r="A159" s="327" t="s">
        <v>670</v>
      </c>
      <c r="B159" t="s">
        <v>671</v>
      </c>
      <c r="C159" s="324" t="s">
        <v>3262</v>
      </c>
      <c r="D159" s="327" t="str">
        <f t="shared" si="4"/>
        <v>NACE C - 14.22 Manufacture of underwear</v>
      </c>
      <c r="E159" s="324" t="s">
        <v>672</v>
      </c>
      <c r="F159" t="s">
        <v>673</v>
      </c>
      <c r="G159" t="str">
        <f t="shared" si="5"/>
        <v>MV</v>
      </c>
      <c r="H159" s="89"/>
      <c r="K159" t="s">
        <v>4809</v>
      </c>
      <c r="V159" s="89"/>
      <c r="AA159" t="s">
        <v>3935</v>
      </c>
    </row>
    <row r="160" spans="1:27" x14ac:dyDescent="0.3">
      <c r="A160" s="327" t="s">
        <v>674</v>
      </c>
      <c r="B160" t="s">
        <v>675</v>
      </c>
      <c r="C160" s="323" t="s">
        <v>3269</v>
      </c>
      <c r="D160" s="327" t="str">
        <f t="shared" si="4"/>
        <v>NACE C - 14.23 Manufacture of workwear</v>
      </c>
      <c r="E160" s="324" t="s">
        <v>676</v>
      </c>
      <c r="F160" t="s">
        <v>677</v>
      </c>
      <c r="G160" t="str">
        <f t="shared" si="5"/>
        <v>MW</v>
      </c>
      <c r="H160" s="89"/>
      <c r="K160" t="s">
        <v>4810</v>
      </c>
      <c r="V160" s="89"/>
      <c r="AA160" t="s">
        <v>3936</v>
      </c>
    </row>
    <row r="161" spans="1:27" x14ac:dyDescent="0.3">
      <c r="A161" s="327" t="s">
        <v>678</v>
      </c>
      <c r="B161" t="s">
        <v>679</v>
      </c>
      <c r="C161" s="326" t="s">
        <v>3270</v>
      </c>
      <c r="D161" s="327" t="str">
        <f t="shared" si="4"/>
        <v>NACE C - 14.24 Manufacture of leather clothes and fur apparel</v>
      </c>
      <c r="E161" s="324" t="s">
        <v>680</v>
      </c>
      <c r="F161" t="s">
        <v>681</v>
      </c>
      <c r="G161" t="str">
        <f t="shared" si="5"/>
        <v>MX</v>
      </c>
      <c r="H161" s="89"/>
      <c r="K161" t="s">
        <v>4811</v>
      </c>
      <c r="AA161" t="s">
        <v>3937</v>
      </c>
    </row>
    <row r="162" spans="1:27" x14ac:dyDescent="0.3">
      <c r="A162" s="327" t="s">
        <v>682</v>
      </c>
      <c r="B162" t="s">
        <v>683</v>
      </c>
      <c r="C162" s="323" t="s">
        <v>3271</v>
      </c>
      <c r="D162" s="327" t="str">
        <f t="shared" si="4"/>
        <v>NACE C - 14.29 Manufacture of other wearing apparel and accessories n.e.c.</v>
      </c>
      <c r="E162" s="324" t="s">
        <v>684</v>
      </c>
      <c r="F162" t="s">
        <v>685</v>
      </c>
      <c r="G162" t="str">
        <f t="shared" si="5"/>
        <v>MY</v>
      </c>
      <c r="K162" t="s">
        <v>4812</v>
      </c>
      <c r="AA162" t="s">
        <v>3938</v>
      </c>
    </row>
    <row r="163" spans="1:27" x14ac:dyDescent="0.3">
      <c r="A163" s="323" t="s">
        <v>686</v>
      </c>
      <c r="B163" t="s">
        <v>687</v>
      </c>
      <c r="C163" s="326" t="s">
        <v>3272</v>
      </c>
      <c r="D163" s="323" t="str">
        <f t="shared" si="4"/>
        <v>NACE C - 15 Manufacture of leather and related products of other materials</v>
      </c>
      <c r="E163" s="324" t="s">
        <v>688</v>
      </c>
      <c r="F163" t="s">
        <v>689</v>
      </c>
      <c r="G163" t="str">
        <f t="shared" si="5"/>
        <v>MZ</v>
      </c>
      <c r="K163" t="s">
        <v>4813</v>
      </c>
      <c r="AA163" t="s">
        <v>3939</v>
      </c>
    </row>
    <row r="164" spans="1:27" x14ac:dyDescent="0.3">
      <c r="A164" s="326" t="s">
        <v>690</v>
      </c>
      <c r="B164" t="s">
        <v>691</v>
      </c>
      <c r="C164" s="323" t="s">
        <v>3273</v>
      </c>
      <c r="D164" s="326" t="str">
        <f t="shared" si="4"/>
        <v>NACE C - 15.1 Tanning, dyeing, dressing of leather and fur; manufacture of luggage, handbags, saddlery and harness</v>
      </c>
      <c r="E164" s="324" t="s">
        <v>692</v>
      </c>
      <c r="F164" t="s">
        <v>693</v>
      </c>
      <c r="G164" t="str">
        <f t="shared" si="5"/>
        <v>NA</v>
      </c>
      <c r="K164" t="s">
        <v>4814</v>
      </c>
      <c r="AA164" t="s">
        <v>3940</v>
      </c>
    </row>
    <row r="165" spans="1:27" x14ac:dyDescent="0.3">
      <c r="A165" s="327" t="s">
        <v>694</v>
      </c>
      <c r="B165" t="s">
        <v>695</v>
      </c>
      <c r="C165" s="326" t="s">
        <v>3274</v>
      </c>
      <c r="D165" s="327" t="str">
        <f t="shared" si="4"/>
        <v>NACE C - 15.11 Tanning, dressing, dyeing of leather and fur</v>
      </c>
      <c r="E165" s="324" t="s">
        <v>696</v>
      </c>
      <c r="F165" t="s">
        <v>697</v>
      </c>
      <c r="G165" t="str">
        <f t="shared" si="5"/>
        <v>NC</v>
      </c>
      <c r="K165" t="s">
        <v>4815</v>
      </c>
      <c r="AA165" t="s">
        <v>3941</v>
      </c>
    </row>
    <row r="166" spans="1:27" x14ac:dyDescent="0.3">
      <c r="A166" s="327" t="s">
        <v>698</v>
      </c>
      <c r="B166" t="s">
        <v>699</v>
      </c>
      <c r="C166" s="326" t="s">
        <v>3275</v>
      </c>
      <c r="D166" s="327" t="str">
        <f t="shared" si="4"/>
        <v>NACE C - 15.12 Manufacture of luggage, handbags, saddlery and harness of any material</v>
      </c>
      <c r="E166" s="324" t="s">
        <v>700</v>
      </c>
      <c r="F166" t="s">
        <v>701</v>
      </c>
      <c r="G166" t="str">
        <f t="shared" si="5"/>
        <v>NE</v>
      </c>
      <c r="K166" t="s">
        <v>4816</v>
      </c>
      <c r="AA166" t="s">
        <v>3942</v>
      </c>
    </row>
    <row r="167" spans="1:27" x14ac:dyDescent="0.3">
      <c r="A167" s="326" t="s">
        <v>702</v>
      </c>
      <c r="B167" t="s">
        <v>703</v>
      </c>
      <c r="C167" s="326" t="s">
        <v>3276</v>
      </c>
      <c r="D167" s="326" t="str">
        <f t="shared" si="4"/>
        <v>NACE C - 15.2 Manufacture of footwear</v>
      </c>
      <c r="E167" s="324" t="s">
        <v>704</v>
      </c>
      <c r="F167" t="s">
        <v>705</v>
      </c>
      <c r="G167" t="str">
        <f t="shared" si="5"/>
        <v>NF</v>
      </c>
      <c r="K167" t="s">
        <v>4817</v>
      </c>
      <c r="AA167" t="s">
        <v>3943</v>
      </c>
    </row>
    <row r="168" spans="1:27" x14ac:dyDescent="0.3">
      <c r="A168" s="327" t="s">
        <v>706</v>
      </c>
      <c r="B168" t="s">
        <v>707</v>
      </c>
      <c r="C168" s="323" t="s">
        <v>3277</v>
      </c>
      <c r="D168" s="327" t="str">
        <f t="shared" si="4"/>
        <v>NACE C - 15.20 Manufacture of footwear</v>
      </c>
      <c r="E168" s="324" t="s">
        <v>708</v>
      </c>
      <c r="F168" t="s">
        <v>709</v>
      </c>
      <c r="G168" t="str">
        <f t="shared" si="5"/>
        <v>NG</v>
      </c>
      <c r="K168" t="s">
        <v>4818</v>
      </c>
      <c r="AA168" t="s">
        <v>3944</v>
      </c>
    </row>
    <row r="169" spans="1:27" x14ac:dyDescent="0.3">
      <c r="A169" s="323" t="s">
        <v>710</v>
      </c>
      <c r="B169" t="s">
        <v>711</v>
      </c>
      <c r="C169" s="326" t="s">
        <v>3278</v>
      </c>
      <c r="D169" s="323" t="str">
        <f t="shared" si="4"/>
        <v>NACE C - 16 Manufacture of wood and of products of wood and cork, except furniture; manufacture of articles of straw and plaiting materials</v>
      </c>
      <c r="E169" s="324" t="s">
        <v>712</v>
      </c>
      <c r="F169" t="s">
        <v>713</v>
      </c>
      <c r="G169" t="str">
        <f t="shared" si="5"/>
        <v>NI</v>
      </c>
      <c r="K169" t="s">
        <v>4819</v>
      </c>
      <c r="AA169" t="s">
        <v>3945</v>
      </c>
    </row>
    <row r="170" spans="1:27" x14ac:dyDescent="0.3">
      <c r="A170" s="326" t="s">
        <v>714</v>
      </c>
      <c r="B170" t="s">
        <v>715</v>
      </c>
      <c r="C170" s="324" t="s">
        <v>3268</v>
      </c>
      <c r="D170" s="326" t="str">
        <f t="shared" si="4"/>
        <v>NACE C - 16.1 Sawmilling and planing of wood; processing and finishing of wood</v>
      </c>
      <c r="E170" s="324" t="s">
        <v>716</v>
      </c>
      <c r="F170" t="s">
        <v>717</v>
      </c>
      <c r="G170" t="str">
        <f t="shared" si="5"/>
        <v>NL</v>
      </c>
      <c r="K170" t="s">
        <v>4820</v>
      </c>
      <c r="AA170" t="s">
        <v>3946</v>
      </c>
    </row>
    <row r="171" spans="1:27" x14ac:dyDescent="0.3">
      <c r="A171" s="327" t="s">
        <v>718</v>
      </c>
      <c r="B171" t="s">
        <v>719</v>
      </c>
      <c r="C171" s="323" t="s">
        <v>3280</v>
      </c>
      <c r="D171" s="327" t="str">
        <f t="shared" si="4"/>
        <v>NACE C - 16.11 Sawmilling and planing of wood</v>
      </c>
      <c r="E171" s="324" t="s">
        <v>720</v>
      </c>
      <c r="F171" t="s">
        <v>721</v>
      </c>
      <c r="G171" t="str">
        <f t="shared" si="5"/>
        <v>NO</v>
      </c>
      <c r="K171" t="s">
        <v>4821</v>
      </c>
    </row>
    <row r="172" spans="1:27" x14ac:dyDescent="0.3">
      <c r="A172" s="327" t="s">
        <v>722</v>
      </c>
      <c r="B172" t="s">
        <v>723</v>
      </c>
      <c r="C172" s="326" t="s">
        <v>3281</v>
      </c>
      <c r="D172" s="327" t="str">
        <f t="shared" si="4"/>
        <v>NACE C - 16.12 Processing and finishing of wood</v>
      </c>
      <c r="E172" s="324" t="s">
        <v>724</v>
      </c>
      <c r="F172" t="s">
        <v>725</v>
      </c>
      <c r="G172" t="str">
        <f t="shared" si="5"/>
        <v>NP</v>
      </c>
      <c r="K172" t="s">
        <v>4822</v>
      </c>
    </row>
    <row r="173" spans="1:27" x14ac:dyDescent="0.3">
      <c r="A173" s="326" t="s">
        <v>726</v>
      </c>
      <c r="B173" t="s">
        <v>727</v>
      </c>
      <c r="C173" s="323" t="s">
        <v>3282</v>
      </c>
      <c r="D173" s="326" t="str">
        <f t="shared" si="4"/>
        <v>NACE C - 16.2 Manufacture of products of wood, cork, straw and plaiting materials</v>
      </c>
      <c r="E173" s="324" t="s">
        <v>728</v>
      </c>
      <c r="F173" t="s">
        <v>729</v>
      </c>
      <c r="G173" t="str">
        <f t="shared" si="5"/>
        <v>NR</v>
      </c>
      <c r="K173" t="s">
        <v>4823</v>
      </c>
    </row>
    <row r="174" spans="1:27" x14ac:dyDescent="0.3">
      <c r="A174" s="327" t="s">
        <v>730</v>
      </c>
      <c r="B174" t="s">
        <v>731</v>
      </c>
      <c r="C174" s="326" t="s">
        <v>3283</v>
      </c>
      <c r="D174" s="327" t="str">
        <f t="shared" si="4"/>
        <v>NACE C - 16.21 Manufacture of veneer sheets and wood-based panels</v>
      </c>
      <c r="E174" s="324" t="s">
        <v>732</v>
      </c>
      <c r="F174" t="s">
        <v>733</v>
      </c>
      <c r="G174" t="str">
        <f t="shared" si="5"/>
        <v>NT</v>
      </c>
      <c r="K174" t="s">
        <v>4824</v>
      </c>
    </row>
    <row r="175" spans="1:27" x14ac:dyDescent="0.3">
      <c r="A175" s="327" t="s">
        <v>734</v>
      </c>
      <c r="B175" t="s">
        <v>735</v>
      </c>
      <c r="C175" s="326" t="s">
        <v>3284</v>
      </c>
      <c r="D175" s="327" t="str">
        <f t="shared" si="4"/>
        <v>NACE C - 16.22 Manufacture of assembled parquet floors</v>
      </c>
      <c r="E175" s="324" t="s">
        <v>736</v>
      </c>
      <c r="F175" t="s">
        <v>737</v>
      </c>
      <c r="G175" t="str">
        <f t="shared" si="5"/>
        <v>NU</v>
      </c>
      <c r="K175" t="s">
        <v>4825</v>
      </c>
    </row>
    <row r="176" spans="1:27" x14ac:dyDescent="0.3">
      <c r="A176" s="327" t="s">
        <v>738</v>
      </c>
      <c r="B176" t="s">
        <v>739</v>
      </c>
      <c r="C176" s="326" t="s">
        <v>3285</v>
      </c>
      <c r="D176" s="327" t="str">
        <f t="shared" si="4"/>
        <v>NACE C - 16.23 Manufacture of other builders’ carpentry and joinery</v>
      </c>
      <c r="E176" s="324" t="s">
        <v>740</v>
      </c>
      <c r="F176" t="s">
        <v>741</v>
      </c>
      <c r="G176" t="str">
        <f t="shared" si="5"/>
        <v>NZ</v>
      </c>
      <c r="K176" t="s">
        <v>4826</v>
      </c>
    </row>
    <row r="177" spans="1:11" x14ac:dyDescent="0.3">
      <c r="A177" s="327" t="s">
        <v>742</v>
      </c>
      <c r="B177" t="s">
        <v>743</v>
      </c>
      <c r="C177" s="323" t="s">
        <v>3286</v>
      </c>
      <c r="D177" s="327" t="str">
        <f t="shared" si="4"/>
        <v>NACE C - 16.24 Manufacture of wooden containers</v>
      </c>
      <c r="E177" s="324" t="s">
        <v>744</v>
      </c>
      <c r="F177" t="s">
        <v>745</v>
      </c>
      <c r="G177" t="str">
        <f t="shared" si="5"/>
        <v>OM</v>
      </c>
      <c r="K177" t="s">
        <v>4827</v>
      </c>
    </row>
    <row r="178" spans="1:11" x14ac:dyDescent="0.3">
      <c r="A178" s="327" t="s">
        <v>746</v>
      </c>
      <c r="B178" t="s">
        <v>747</v>
      </c>
      <c r="C178" s="326" t="s">
        <v>3287</v>
      </c>
      <c r="D178" s="327" t="str">
        <f t="shared" si="4"/>
        <v>NACE C - 16.25 Manufacture of doors and windows of wood</v>
      </c>
      <c r="E178" s="324" t="s">
        <v>748</v>
      </c>
      <c r="F178" t="s">
        <v>749</v>
      </c>
      <c r="G178" t="str">
        <f t="shared" si="5"/>
        <v>PA</v>
      </c>
      <c r="K178" t="s">
        <v>4828</v>
      </c>
    </row>
    <row r="179" spans="1:11" x14ac:dyDescent="0.3">
      <c r="A179" s="327" t="s">
        <v>750</v>
      </c>
      <c r="B179" t="s">
        <v>751</v>
      </c>
      <c r="C179" s="326" t="s">
        <v>3288</v>
      </c>
      <c r="D179" s="327" t="str">
        <f t="shared" si="4"/>
        <v>NACE C - 16.26 Manufacture of solid fuels from vegetable biomass</v>
      </c>
      <c r="E179" s="324" t="s">
        <v>752</v>
      </c>
      <c r="F179" t="s">
        <v>753</v>
      </c>
      <c r="G179" t="str">
        <f t="shared" si="5"/>
        <v>PE</v>
      </c>
      <c r="K179" t="s">
        <v>4829</v>
      </c>
    </row>
    <row r="180" spans="1:11" x14ac:dyDescent="0.3">
      <c r="A180" s="327" t="s">
        <v>754</v>
      </c>
      <c r="B180" t="s">
        <v>755</v>
      </c>
      <c r="C180" s="326" t="s">
        <v>3289</v>
      </c>
      <c r="D180" s="327" t="str">
        <f t="shared" si="4"/>
        <v>NACE C - 16.27 Finishing of wooden products</v>
      </c>
      <c r="E180" s="324" t="s">
        <v>756</v>
      </c>
      <c r="F180" t="s">
        <v>757</v>
      </c>
      <c r="G180" t="str">
        <f t="shared" si="5"/>
        <v>PF</v>
      </c>
      <c r="K180" t="s">
        <v>4830</v>
      </c>
    </row>
    <row r="181" spans="1:11" x14ac:dyDescent="0.3">
      <c r="A181" s="327" t="s">
        <v>758</v>
      </c>
      <c r="B181" t="s">
        <v>759</v>
      </c>
      <c r="C181" s="326" t="s">
        <v>3290</v>
      </c>
      <c r="D181" s="327" t="str">
        <f t="shared" si="4"/>
        <v>NACE C - 16.28 Manufacture of other products of wood and articles of cork, straw and plaiting materials</v>
      </c>
      <c r="E181" s="324" t="s">
        <v>760</v>
      </c>
      <c r="F181" t="s">
        <v>761</v>
      </c>
      <c r="G181" t="str">
        <f t="shared" si="5"/>
        <v>PG</v>
      </c>
      <c r="K181" t="s">
        <v>4831</v>
      </c>
    </row>
    <row r="182" spans="1:11" x14ac:dyDescent="0.3">
      <c r="A182" s="323" t="s">
        <v>762</v>
      </c>
      <c r="B182" t="s">
        <v>763</v>
      </c>
      <c r="C182" s="326" t="s">
        <v>3291</v>
      </c>
      <c r="D182" s="323" t="str">
        <f t="shared" si="4"/>
        <v>NACE C - 17 Manufacture of paper and paper products</v>
      </c>
      <c r="E182" s="324" t="s">
        <v>764</v>
      </c>
      <c r="F182" t="s">
        <v>765</v>
      </c>
      <c r="G182" t="str">
        <f t="shared" si="5"/>
        <v>PH</v>
      </c>
      <c r="K182" t="s">
        <v>4832</v>
      </c>
    </row>
    <row r="183" spans="1:11" x14ac:dyDescent="0.3">
      <c r="A183" s="326" t="s">
        <v>766</v>
      </c>
      <c r="B183" t="s">
        <v>767</v>
      </c>
      <c r="C183" s="326" t="s">
        <v>3292</v>
      </c>
      <c r="D183" s="326" t="str">
        <f t="shared" si="4"/>
        <v>NACE C - 17.1 Manufacture of pulp, paper and paperboard</v>
      </c>
      <c r="E183" s="324" t="s">
        <v>768</v>
      </c>
      <c r="F183" t="s">
        <v>769</v>
      </c>
      <c r="G183" t="str">
        <f t="shared" si="5"/>
        <v>PK</v>
      </c>
      <c r="K183" t="s">
        <v>4833</v>
      </c>
    </row>
    <row r="184" spans="1:11" x14ac:dyDescent="0.3">
      <c r="A184" s="327" t="s">
        <v>770</v>
      </c>
      <c r="B184" t="s">
        <v>771</v>
      </c>
      <c r="C184" s="326" t="s">
        <v>3293</v>
      </c>
      <c r="D184" s="327" t="str">
        <f t="shared" si="4"/>
        <v>NACE C - 17.11 Manufacture of pulp</v>
      </c>
      <c r="E184" s="324" t="s">
        <v>772</v>
      </c>
      <c r="F184" t="s">
        <v>773</v>
      </c>
      <c r="G184" t="str">
        <f t="shared" si="5"/>
        <v>PL</v>
      </c>
      <c r="K184" t="s">
        <v>4834</v>
      </c>
    </row>
    <row r="185" spans="1:11" x14ac:dyDescent="0.3">
      <c r="A185" s="327" t="s">
        <v>774</v>
      </c>
      <c r="B185" t="s">
        <v>775</v>
      </c>
      <c r="C185" s="324" t="s">
        <v>3279</v>
      </c>
      <c r="D185" s="327" t="str">
        <f t="shared" si="4"/>
        <v>NACE C - 17.12 Manufacture of paper and paperboard</v>
      </c>
      <c r="E185" s="324" t="s">
        <v>776</v>
      </c>
      <c r="F185" t="s">
        <v>777</v>
      </c>
      <c r="G185" t="str">
        <f t="shared" si="5"/>
        <v>PM</v>
      </c>
      <c r="K185" t="s">
        <v>4835</v>
      </c>
    </row>
    <row r="186" spans="1:11" x14ac:dyDescent="0.3">
      <c r="A186" s="326" t="s">
        <v>778</v>
      </c>
      <c r="B186" t="s">
        <v>779</v>
      </c>
      <c r="C186" s="323" t="s">
        <v>3295</v>
      </c>
      <c r="D186" s="326" t="str">
        <f t="shared" si="4"/>
        <v>NACE C - 17.2 Manufacture of articles of paper and paperboard</v>
      </c>
      <c r="E186" s="324" t="s">
        <v>780</v>
      </c>
      <c r="F186" t="s">
        <v>781</v>
      </c>
      <c r="G186" t="str">
        <f t="shared" si="5"/>
        <v>PN</v>
      </c>
      <c r="K186" t="s">
        <v>4836</v>
      </c>
    </row>
    <row r="187" spans="1:11" x14ac:dyDescent="0.3">
      <c r="A187" s="327" t="s">
        <v>782</v>
      </c>
      <c r="B187" t="s">
        <v>783</v>
      </c>
      <c r="C187" s="326" t="s">
        <v>3296</v>
      </c>
      <c r="D187" s="327" t="str">
        <f t="shared" si="4"/>
        <v>NACE C - 17.21 Manufacture of corrugated paper, paperboard and containers of paper and paperboard</v>
      </c>
      <c r="E187" s="324" t="s">
        <v>784</v>
      </c>
      <c r="F187" t="s">
        <v>785</v>
      </c>
      <c r="G187" t="str">
        <f t="shared" si="5"/>
        <v>PR</v>
      </c>
      <c r="K187" t="s">
        <v>4837</v>
      </c>
    </row>
    <row r="188" spans="1:11" x14ac:dyDescent="0.3">
      <c r="A188" s="327" t="s">
        <v>786</v>
      </c>
      <c r="B188" t="s">
        <v>787</v>
      </c>
      <c r="C188" s="326" t="s">
        <v>3297</v>
      </c>
      <c r="D188" s="327" t="str">
        <f t="shared" si="4"/>
        <v>NACE C - 17.22 Manufacture of household and sanitary goods and of toilet requisites</v>
      </c>
      <c r="E188" s="324" t="s">
        <v>788</v>
      </c>
      <c r="F188" t="s">
        <v>789</v>
      </c>
      <c r="G188" t="str">
        <f t="shared" si="5"/>
        <v>PS</v>
      </c>
      <c r="K188" t="s">
        <v>4838</v>
      </c>
    </row>
    <row r="189" spans="1:11" x14ac:dyDescent="0.3">
      <c r="A189" s="327" t="s">
        <v>790</v>
      </c>
      <c r="B189" t="s">
        <v>791</v>
      </c>
      <c r="C189" s="326" t="s">
        <v>3298</v>
      </c>
      <c r="D189" s="327" t="str">
        <f t="shared" si="4"/>
        <v>NACE C - 17.23 Manufacture of paper stationery</v>
      </c>
      <c r="E189" s="324" t="s">
        <v>792</v>
      </c>
      <c r="F189" t="s">
        <v>793</v>
      </c>
      <c r="G189" t="str">
        <f t="shared" si="5"/>
        <v>PT</v>
      </c>
      <c r="K189" t="s">
        <v>4839</v>
      </c>
    </row>
    <row r="190" spans="1:11" x14ac:dyDescent="0.3">
      <c r="A190" s="327" t="s">
        <v>794</v>
      </c>
      <c r="B190" t="s">
        <v>795</v>
      </c>
      <c r="C190" s="326" t="s">
        <v>3299</v>
      </c>
      <c r="D190" s="327" t="str">
        <f t="shared" si="4"/>
        <v>NACE C - 17.24 Manufacture of wallpaper</v>
      </c>
      <c r="E190" s="324" t="s">
        <v>796</v>
      </c>
      <c r="F190" t="s">
        <v>797</v>
      </c>
      <c r="G190" t="str">
        <f t="shared" si="5"/>
        <v>PW</v>
      </c>
      <c r="K190" t="s">
        <v>4840</v>
      </c>
    </row>
    <row r="191" spans="1:11" x14ac:dyDescent="0.3">
      <c r="A191" s="327" t="s">
        <v>798</v>
      </c>
      <c r="B191" t="s">
        <v>799</v>
      </c>
      <c r="C191" s="326" t="s">
        <v>3300</v>
      </c>
      <c r="D191" s="327" t="str">
        <f t="shared" si="4"/>
        <v>NACE C - 17.25 Manufacture of other articles of paper and paperboard</v>
      </c>
      <c r="E191" s="324" t="s">
        <v>800</v>
      </c>
      <c r="F191" t="s">
        <v>801</v>
      </c>
      <c r="G191" t="str">
        <f t="shared" si="5"/>
        <v>PY</v>
      </c>
      <c r="K191" t="s">
        <v>4841</v>
      </c>
    </row>
    <row r="192" spans="1:11" x14ac:dyDescent="0.3">
      <c r="A192" s="323" t="s">
        <v>802</v>
      </c>
      <c r="B192" t="s">
        <v>803</v>
      </c>
      <c r="C192" s="326" t="s">
        <v>3301</v>
      </c>
      <c r="D192" s="323" t="str">
        <f t="shared" si="4"/>
        <v>NACE C - 18 Printing and reproduction of recorded media</v>
      </c>
      <c r="E192" s="324" t="s">
        <v>804</v>
      </c>
      <c r="F192" t="s">
        <v>805</v>
      </c>
      <c r="G192" t="str">
        <f t="shared" si="5"/>
        <v>QA</v>
      </c>
      <c r="K192" t="s">
        <v>4842</v>
      </c>
    </row>
    <row r="193" spans="1:11" x14ac:dyDescent="0.3">
      <c r="A193" s="326" t="s">
        <v>806</v>
      </c>
      <c r="B193" t="s">
        <v>807</v>
      </c>
      <c r="C193" s="326" t="s">
        <v>3302</v>
      </c>
      <c r="D193" s="326" t="str">
        <f t="shared" si="4"/>
        <v>NACE C - 18.1 Printing and service activities related to printing</v>
      </c>
      <c r="E193" s="324" t="s">
        <v>808</v>
      </c>
      <c r="F193" t="s">
        <v>809</v>
      </c>
      <c r="G193" t="str">
        <f t="shared" si="5"/>
        <v>RE</v>
      </c>
      <c r="K193" t="s">
        <v>4843</v>
      </c>
    </row>
    <row r="194" spans="1:11" x14ac:dyDescent="0.3">
      <c r="A194" s="327" t="s">
        <v>810</v>
      </c>
      <c r="B194" t="s">
        <v>811</v>
      </c>
      <c r="C194" s="326" t="s">
        <v>3303</v>
      </c>
      <c r="D194" s="327" t="str">
        <f t="shared" ref="D194:D257" si="6">_xlfn.CONCAT("NACE ", A194)</f>
        <v>NACE C - 18.11 Printing of newspapers</v>
      </c>
      <c r="E194" s="324" t="s">
        <v>812</v>
      </c>
      <c r="F194" t="s">
        <v>813</v>
      </c>
      <c r="G194" t="str">
        <f t="shared" si="5"/>
        <v>RO</v>
      </c>
      <c r="K194" t="s">
        <v>4844</v>
      </c>
    </row>
    <row r="195" spans="1:11" x14ac:dyDescent="0.3">
      <c r="A195" s="327" t="s">
        <v>814</v>
      </c>
      <c r="B195" t="s">
        <v>815</v>
      </c>
      <c r="C195" s="326" t="s">
        <v>3304</v>
      </c>
      <c r="D195" s="327" t="str">
        <f t="shared" si="6"/>
        <v>NACE C - 18.12 Other printing</v>
      </c>
      <c r="E195" s="324" t="s">
        <v>816</v>
      </c>
      <c r="F195" t="s">
        <v>817</v>
      </c>
      <c r="G195" t="str">
        <f t="shared" ref="G195:G257" si="7">RIGHT(F195,2)</f>
        <v>RS</v>
      </c>
      <c r="K195" t="s">
        <v>4845</v>
      </c>
    </row>
    <row r="196" spans="1:11" x14ac:dyDescent="0.3">
      <c r="A196" s="327" t="s">
        <v>818</v>
      </c>
      <c r="B196" t="s">
        <v>819</v>
      </c>
      <c r="C196" s="323" t="s">
        <v>3305</v>
      </c>
      <c r="D196" s="327" t="str">
        <f t="shared" si="6"/>
        <v>NACE C - 18.13 Pre-press and pre-media services</v>
      </c>
      <c r="E196" s="324" t="s">
        <v>820</v>
      </c>
      <c r="F196" t="s">
        <v>821</v>
      </c>
      <c r="G196" t="str">
        <f t="shared" si="7"/>
        <v>RU</v>
      </c>
      <c r="K196" t="s">
        <v>4846</v>
      </c>
    </row>
    <row r="197" spans="1:11" x14ac:dyDescent="0.3">
      <c r="A197" s="327" t="s">
        <v>822</v>
      </c>
      <c r="B197" t="s">
        <v>823</v>
      </c>
      <c r="C197" s="326" t="s">
        <v>3306</v>
      </c>
      <c r="D197" s="327" t="str">
        <f t="shared" si="6"/>
        <v>NACE C - 18.14 Binding and related services</v>
      </c>
      <c r="E197" s="324" t="s">
        <v>824</v>
      </c>
      <c r="F197" t="s">
        <v>825</v>
      </c>
      <c r="G197" t="str">
        <f t="shared" si="7"/>
        <v>RW</v>
      </c>
      <c r="K197" t="s">
        <v>4847</v>
      </c>
    </row>
    <row r="198" spans="1:11" x14ac:dyDescent="0.3">
      <c r="A198" s="326" t="s">
        <v>826</v>
      </c>
      <c r="B198" t="s">
        <v>827</v>
      </c>
      <c r="C198" s="326" t="s">
        <v>3307</v>
      </c>
      <c r="D198" s="326" t="str">
        <f t="shared" si="6"/>
        <v>NACE C - 18.2 Reproduction of recorded media</v>
      </c>
      <c r="E198" s="324" t="s">
        <v>828</v>
      </c>
      <c r="F198" t="s">
        <v>829</v>
      </c>
      <c r="G198" t="str">
        <f t="shared" si="7"/>
        <v>SA</v>
      </c>
      <c r="K198" t="s">
        <v>4848</v>
      </c>
    </row>
    <row r="199" spans="1:11" x14ac:dyDescent="0.3">
      <c r="A199" s="327" t="s">
        <v>830</v>
      </c>
      <c r="B199" t="s">
        <v>831</v>
      </c>
      <c r="C199" s="326" t="s">
        <v>3308</v>
      </c>
      <c r="D199" s="327" t="str">
        <f t="shared" si="6"/>
        <v>NACE C - 18.20 Reproduction of recorded media</v>
      </c>
      <c r="E199" s="324" t="s">
        <v>832</v>
      </c>
      <c r="F199" t="s">
        <v>833</v>
      </c>
      <c r="G199" t="str">
        <f t="shared" si="7"/>
        <v>SB</v>
      </c>
      <c r="K199" t="s">
        <v>4849</v>
      </c>
    </row>
    <row r="200" spans="1:11" x14ac:dyDescent="0.3">
      <c r="A200" s="323" t="s">
        <v>834</v>
      </c>
      <c r="B200" t="s">
        <v>835</v>
      </c>
      <c r="C200" s="326" t="s">
        <v>3309</v>
      </c>
      <c r="D200" s="323" t="str">
        <f t="shared" si="6"/>
        <v>NACE C - 19 Manufacture of coke and refined petroleum products</v>
      </c>
      <c r="E200" s="324" t="s">
        <v>836</v>
      </c>
      <c r="F200" t="s">
        <v>837</v>
      </c>
      <c r="G200" t="str">
        <f t="shared" si="7"/>
        <v>SC</v>
      </c>
      <c r="K200" t="s">
        <v>4850</v>
      </c>
    </row>
    <row r="201" spans="1:11" x14ac:dyDescent="0.3">
      <c r="A201" s="326" t="s">
        <v>838</v>
      </c>
      <c r="B201" t="s">
        <v>839</v>
      </c>
      <c r="C201" s="326" t="s">
        <v>3310</v>
      </c>
      <c r="D201" s="326" t="str">
        <f t="shared" si="6"/>
        <v>NACE C - 19.1 Manufacture of coke oven products</v>
      </c>
      <c r="E201" s="324" t="s">
        <v>840</v>
      </c>
      <c r="F201" t="s">
        <v>841</v>
      </c>
      <c r="G201" t="str">
        <f t="shared" si="7"/>
        <v>SD</v>
      </c>
      <c r="K201" t="s">
        <v>4851</v>
      </c>
    </row>
    <row r="202" spans="1:11" x14ac:dyDescent="0.3">
      <c r="A202" s="327" t="s">
        <v>842</v>
      </c>
      <c r="B202" t="s">
        <v>843</v>
      </c>
      <c r="C202" s="326" t="s">
        <v>3311</v>
      </c>
      <c r="D202" s="327" t="str">
        <f t="shared" si="6"/>
        <v>NACE C - 19.10 Manufacture of coke oven products</v>
      </c>
      <c r="E202" s="324" t="s">
        <v>844</v>
      </c>
      <c r="F202" t="s">
        <v>845</v>
      </c>
      <c r="G202" t="str">
        <f t="shared" si="7"/>
        <v>SE</v>
      </c>
      <c r="K202" t="s">
        <v>4852</v>
      </c>
    </row>
    <row r="203" spans="1:11" x14ac:dyDescent="0.3">
      <c r="A203" s="326" t="s">
        <v>846</v>
      </c>
      <c r="B203" t="s">
        <v>847</v>
      </c>
      <c r="C203" s="326" t="s">
        <v>3312</v>
      </c>
      <c r="D203" s="326" t="str">
        <f t="shared" si="6"/>
        <v>NACE C - 19.2 Manufacture of refined petroleum products and fossil fuel products</v>
      </c>
      <c r="E203" s="324" t="s">
        <v>848</v>
      </c>
      <c r="F203" t="s">
        <v>849</v>
      </c>
      <c r="G203" t="str">
        <f t="shared" si="7"/>
        <v>SG</v>
      </c>
      <c r="K203" t="s">
        <v>4853</v>
      </c>
    </row>
    <row r="204" spans="1:11" x14ac:dyDescent="0.3">
      <c r="A204" s="327" t="s">
        <v>850</v>
      </c>
      <c r="B204" t="s">
        <v>851</v>
      </c>
      <c r="C204" s="326" t="s">
        <v>3313</v>
      </c>
      <c r="D204" s="327" t="str">
        <f t="shared" si="6"/>
        <v>NACE C - 19.20 Manufacture of refined petroleum products and fossil fuel products</v>
      </c>
      <c r="E204" s="324" t="s">
        <v>852</v>
      </c>
      <c r="F204" t="s">
        <v>853</v>
      </c>
      <c r="G204" t="str">
        <f t="shared" si="7"/>
        <v>SH</v>
      </c>
      <c r="K204" t="s">
        <v>4854</v>
      </c>
    </row>
    <row r="205" spans="1:11" x14ac:dyDescent="0.3">
      <c r="A205" s="323" t="s">
        <v>854</v>
      </c>
      <c r="B205" t="s">
        <v>855</v>
      </c>
      <c r="C205" s="326" t="s">
        <v>3314</v>
      </c>
      <c r="D205" s="323" t="str">
        <f t="shared" si="6"/>
        <v>NACE C - 20 Manufacture of chemicals and chemical products</v>
      </c>
      <c r="E205" s="324" t="s">
        <v>856</v>
      </c>
      <c r="F205" t="s">
        <v>857</v>
      </c>
      <c r="G205" t="str">
        <f t="shared" si="7"/>
        <v>SI</v>
      </c>
      <c r="K205" t="s">
        <v>4855</v>
      </c>
    </row>
    <row r="206" spans="1:11" x14ac:dyDescent="0.3">
      <c r="A206" s="326" t="s">
        <v>858</v>
      </c>
      <c r="B206" t="s">
        <v>859</v>
      </c>
      <c r="C206" s="324" t="s">
        <v>3294</v>
      </c>
      <c r="D206" s="326" t="str">
        <f t="shared" si="6"/>
        <v>NACE C - 20.1 Manufacture of basic chemicals, fertilisers and nitrogen compounds, plastics and synthetic rubber in primary forms</v>
      </c>
      <c r="E206" s="324" t="s">
        <v>860</v>
      </c>
      <c r="F206" t="s">
        <v>861</v>
      </c>
      <c r="G206" t="str">
        <f t="shared" si="7"/>
        <v>SJ</v>
      </c>
      <c r="K206" t="s">
        <v>4856</v>
      </c>
    </row>
    <row r="207" spans="1:11" x14ac:dyDescent="0.3">
      <c r="A207" s="327" t="s">
        <v>862</v>
      </c>
      <c r="B207" t="s">
        <v>863</v>
      </c>
      <c r="C207" s="323" t="s">
        <v>3316</v>
      </c>
      <c r="D207" s="327" t="str">
        <f t="shared" si="6"/>
        <v>NACE C - 20.11 Manufacture of industrial gases</v>
      </c>
      <c r="E207" s="324" t="s">
        <v>864</v>
      </c>
      <c r="F207" t="s">
        <v>865</v>
      </c>
      <c r="G207" t="str">
        <f t="shared" si="7"/>
        <v>SK</v>
      </c>
      <c r="K207" t="s">
        <v>4857</v>
      </c>
    </row>
    <row r="208" spans="1:11" x14ac:dyDescent="0.3">
      <c r="A208" s="327" t="s">
        <v>866</v>
      </c>
      <c r="B208" t="s">
        <v>867</v>
      </c>
      <c r="C208" s="326" t="s">
        <v>3317</v>
      </c>
      <c r="D208" s="327" t="str">
        <f t="shared" si="6"/>
        <v>NACE C - 20.12 Manufacture of dyes and pigments</v>
      </c>
      <c r="E208" s="324" t="s">
        <v>868</v>
      </c>
      <c r="F208" t="s">
        <v>869</v>
      </c>
      <c r="G208" t="str">
        <f t="shared" si="7"/>
        <v>SL</v>
      </c>
      <c r="K208" t="s">
        <v>4858</v>
      </c>
    </row>
    <row r="209" spans="1:11" x14ac:dyDescent="0.3">
      <c r="A209" s="327" t="s">
        <v>870</v>
      </c>
      <c r="B209" t="s">
        <v>871</v>
      </c>
      <c r="C209" s="326" t="s">
        <v>3318</v>
      </c>
      <c r="D209" s="327" t="str">
        <f t="shared" si="6"/>
        <v>NACE C - 20.13 Manufacture of other inorganic basic chemicals</v>
      </c>
      <c r="E209" s="324" t="s">
        <v>872</v>
      </c>
      <c r="F209" t="s">
        <v>873</v>
      </c>
      <c r="G209" t="str">
        <f t="shared" si="7"/>
        <v>SM</v>
      </c>
      <c r="K209" t="s">
        <v>4859</v>
      </c>
    </row>
    <row r="210" spans="1:11" x14ac:dyDescent="0.3">
      <c r="A210" s="327" t="s">
        <v>874</v>
      </c>
      <c r="B210" t="s">
        <v>875</v>
      </c>
      <c r="C210" s="326" t="s">
        <v>3319</v>
      </c>
      <c r="D210" s="327" t="str">
        <f t="shared" si="6"/>
        <v>NACE C - 20.14 Manufacture of other organic basic chemicals</v>
      </c>
      <c r="E210" s="324" t="s">
        <v>876</v>
      </c>
      <c r="F210" t="s">
        <v>877</v>
      </c>
      <c r="G210" t="str">
        <f t="shared" si="7"/>
        <v>SN</v>
      </c>
      <c r="K210" t="s">
        <v>4860</v>
      </c>
    </row>
    <row r="211" spans="1:11" x14ac:dyDescent="0.3">
      <c r="A211" s="327" t="s">
        <v>878</v>
      </c>
      <c r="B211" t="s">
        <v>879</v>
      </c>
      <c r="C211" s="326" t="s">
        <v>3320</v>
      </c>
      <c r="D211" s="327" t="str">
        <f t="shared" si="6"/>
        <v>NACE C - 20.15 Manufacture of fertilisers and nitrogen compounds</v>
      </c>
      <c r="E211" s="324" t="s">
        <v>880</v>
      </c>
      <c r="F211" t="s">
        <v>881</v>
      </c>
      <c r="G211" t="str">
        <f t="shared" si="7"/>
        <v>SO</v>
      </c>
      <c r="K211" t="s">
        <v>4861</v>
      </c>
    </row>
    <row r="212" spans="1:11" x14ac:dyDescent="0.3">
      <c r="A212" s="327" t="s">
        <v>882</v>
      </c>
      <c r="B212" t="s">
        <v>883</v>
      </c>
      <c r="C212" s="326" t="s">
        <v>3321</v>
      </c>
      <c r="D212" s="327" t="str">
        <f t="shared" si="6"/>
        <v>NACE C - 20.16 Manufacture of plastics in primary forms</v>
      </c>
      <c r="E212" s="324" t="s">
        <v>884</v>
      </c>
      <c r="F212" t="s">
        <v>885</v>
      </c>
      <c r="G212" t="str">
        <f t="shared" si="7"/>
        <v>SR</v>
      </c>
      <c r="K212" t="s">
        <v>4862</v>
      </c>
    </row>
    <row r="213" spans="1:11" x14ac:dyDescent="0.3">
      <c r="A213" s="327" t="s">
        <v>886</v>
      </c>
      <c r="B213" t="s">
        <v>887</v>
      </c>
      <c r="C213" s="323" t="s">
        <v>3322</v>
      </c>
      <c r="D213" s="327" t="str">
        <f t="shared" si="6"/>
        <v>NACE C - 20.17 Manufacture of synthetic rubber in primary forms</v>
      </c>
      <c r="E213" s="324" t="s">
        <v>888</v>
      </c>
      <c r="F213" t="s">
        <v>889</v>
      </c>
      <c r="G213" t="str">
        <f t="shared" si="7"/>
        <v>SS</v>
      </c>
      <c r="K213" t="s">
        <v>4643</v>
      </c>
    </row>
    <row r="214" spans="1:11" x14ac:dyDescent="0.3">
      <c r="A214" s="326" t="s">
        <v>890</v>
      </c>
      <c r="B214" t="s">
        <v>891</v>
      </c>
      <c r="C214" s="326" t="s">
        <v>3323</v>
      </c>
      <c r="D214" s="326" t="str">
        <f t="shared" si="6"/>
        <v>NACE C - 20.2 Manufacture of pesticides, disinfectants and other agrochemical products</v>
      </c>
      <c r="E214" s="324" t="s">
        <v>892</v>
      </c>
      <c r="F214" t="s">
        <v>893</v>
      </c>
      <c r="G214" t="str">
        <f t="shared" si="7"/>
        <v>ST</v>
      </c>
      <c r="K214" t="s">
        <v>4863</v>
      </c>
    </row>
    <row r="215" spans="1:11" x14ac:dyDescent="0.3">
      <c r="A215" s="327" t="s">
        <v>894</v>
      </c>
      <c r="B215" t="s">
        <v>895</v>
      </c>
      <c r="C215" s="326" t="s">
        <v>3324</v>
      </c>
      <c r="D215" s="327" t="str">
        <f t="shared" si="6"/>
        <v>NACE C - 20.20 Manufacture of pesticides, disinfectants and other agrochemical products</v>
      </c>
      <c r="E215" s="324" t="s">
        <v>896</v>
      </c>
      <c r="F215" t="s">
        <v>897</v>
      </c>
      <c r="G215" t="str">
        <f t="shared" si="7"/>
        <v>SV</v>
      </c>
      <c r="K215" t="s">
        <v>4864</v>
      </c>
    </row>
    <row r="216" spans="1:11" x14ac:dyDescent="0.3">
      <c r="A216" s="326" t="s">
        <v>898</v>
      </c>
      <c r="B216" t="s">
        <v>899</v>
      </c>
      <c r="C216" s="326" t="s">
        <v>3325</v>
      </c>
      <c r="D216" s="326" t="str">
        <f t="shared" si="6"/>
        <v>NACE C - 20.3 Manufacture of paints, varnishes and similar coatings, printing ink and mastics</v>
      </c>
      <c r="E216" s="324" t="s">
        <v>900</v>
      </c>
      <c r="F216" t="s">
        <v>901</v>
      </c>
      <c r="G216" t="str">
        <f t="shared" si="7"/>
        <v>SX</v>
      </c>
      <c r="K216" t="s">
        <v>4865</v>
      </c>
    </row>
    <row r="217" spans="1:11" x14ac:dyDescent="0.3">
      <c r="A217" s="327" t="s">
        <v>902</v>
      </c>
      <c r="B217" t="s">
        <v>903</v>
      </c>
      <c r="C217" s="326" t="s">
        <v>3326</v>
      </c>
      <c r="D217" s="327" t="str">
        <f t="shared" si="6"/>
        <v>NACE C - 20.30 Manufacture of paints, varnishes and similar coatings, printing ink and mastics</v>
      </c>
      <c r="E217" s="324" t="s">
        <v>904</v>
      </c>
      <c r="F217" t="s">
        <v>905</v>
      </c>
      <c r="G217" t="str">
        <f t="shared" si="7"/>
        <v>SY</v>
      </c>
      <c r="K217" t="s">
        <v>4866</v>
      </c>
    </row>
    <row r="218" spans="1:11" x14ac:dyDescent="0.3">
      <c r="A218" s="326" t="s">
        <v>906</v>
      </c>
      <c r="B218" t="s">
        <v>907</v>
      </c>
      <c r="C218" s="323" t="s">
        <v>3327</v>
      </c>
      <c r="D218" s="326" t="str">
        <f t="shared" si="6"/>
        <v>NACE C - 20.4 Manufacture of washing, cleaning and polishing preparations</v>
      </c>
      <c r="E218" s="324" t="s">
        <v>908</v>
      </c>
      <c r="F218" t="s">
        <v>909</v>
      </c>
      <c r="G218" t="str">
        <f t="shared" si="7"/>
        <v>SZ</v>
      </c>
      <c r="K218" t="s">
        <v>4867</v>
      </c>
    </row>
    <row r="219" spans="1:11" x14ac:dyDescent="0.3">
      <c r="A219" s="327" t="s">
        <v>910</v>
      </c>
      <c r="B219" t="s">
        <v>911</v>
      </c>
      <c r="C219" s="326" t="s">
        <v>3328</v>
      </c>
      <c r="D219" s="327" t="str">
        <f t="shared" si="6"/>
        <v>NACE C - 20.41 Manufacture of soap and detergents, cleaning and polishing preparations</v>
      </c>
      <c r="E219" s="324" t="s">
        <v>912</v>
      </c>
      <c r="F219" t="s">
        <v>913</v>
      </c>
      <c r="G219" t="str">
        <f t="shared" si="7"/>
        <v>TC</v>
      </c>
      <c r="K219" t="s">
        <v>4868</v>
      </c>
    </row>
    <row r="220" spans="1:11" x14ac:dyDescent="0.3">
      <c r="A220" s="327" t="s">
        <v>914</v>
      </c>
      <c r="B220" t="s">
        <v>915</v>
      </c>
      <c r="C220" s="326" t="s">
        <v>3329</v>
      </c>
      <c r="D220" s="327" t="str">
        <f t="shared" si="6"/>
        <v>NACE C - 20.42 Manufacture of perfume and toilet preparations</v>
      </c>
      <c r="E220" s="324" t="s">
        <v>916</v>
      </c>
      <c r="F220" t="s">
        <v>917</v>
      </c>
      <c r="G220" t="str">
        <f t="shared" si="7"/>
        <v>TD</v>
      </c>
      <c r="K220" t="s">
        <v>4869</v>
      </c>
    </row>
    <row r="221" spans="1:11" x14ac:dyDescent="0.3">
      <c r="A221" s="326" t="s">
        <v>918</v>
      </c>
      <c r="B221" t="s">
        <v>919</v>
      </c>
      <c r="C221" s="323" t="s">
        <v>3330</v>
      </c>
      <c r="D221" s="326" t="str">
        <f t="shared" si="6"/>
        <v>NACE C - 20.5 Manufacture of other chemical products</v>
      </c>
      <c r="E221" s="324" t="s">
        <v>920</v>
      </c>
      <c r="F221" t="s">
        <v>921</v>
      </c>
      <c r="G221" t="str">
        <f t="shared" si="7"/>
        <v>TF</v>
      </c>
      <c r="K221" t="s">
        <v>4870</v>
      </c>
    </row>
    <row r="222" spans="1:11" x14ac:dyDescent="0.3">
      <c r="A222" s="327" t="s">
        <v>922</v>
      </c>
      <c r="B222" t="s">
        <v>923</v>
      </c>
      <c r="C222" s="326" t="s">
        <v>3331</v>
      </c>
      <c r="D222" s="327" t="str">
        <f t="shared" si="6"/>
        <v>NACE C - 20.51 Manufacture of liquid biofuels</v>
      </c>
      <c r="E222" s="324" t="s">
        <v>924</v>
      </c>
      <c r="F222" t="s">
        <v>925</v>
      </c>
      <c r="G222" t="str">
        <f t="shared" si="7"/>
        <v>TG</v>
      </c>
      <c r="K222" t="s">
        <v>4871</v>
      </c>
    </row>
    <row r="223" spans="1:11" x14ac:dyDescent="0.3">
      <c r="A223" s="327" t="s">
        <v>926</v>
      </c>
      <c r="B223" t="s">
        <v>927</v>
      </c>
      <c r="C223" s="326" t="s">
        <v>3332</v>
      </c>
      <c r="D223" s="327" t="str">
        <f t="shared" si="6"/>
        <v>NACE C - 20.59 Manufacture of other chemical products n.e.c.</v>
      </c>
      <c r="E223" s="324" t="s">
        <v>928</v>
      </c>
      <c r="F223" t="s">
        <v>929</v>
      </c>
      <c r="G223" t="str">
        <f t="shared" si="7"/>
        <v>TH</v>
      </c>
      <c r="K223" t="s">
        <v>4872</v>
      </c>
    </row>
    <row r="224" spans="1:11" x14ac:dyDescent="0.3">
      <c r="A224" s="326" t="s">
        <v>930</v>
      </c>
      <c r="B224" t="s">
        <v>931</v>
      </c>
      <c r="C224" s="326" t="s">
        <v>3333</v>
      </c>
      <c r="D224" s="326" t="str">
        <f t="shared" si="6"/>
        <v>NACE C - 20.6 Manufacture of man-made fibres</v>
      </c>
      <c r="E224" s="324" t="s">
        <v>932</v>
      </c>
      <c r="F224" t="s">
        <v>933</v>
      </c>
      <c r="G224" t="str">
        <f t="shared" si="7"/>
        <v>TJ</v>
      </c>
      <c r="K224" t="s">
        <v>4873</v>
      </c>
    </row>
    <row r="225" spans="1:11" x14ac:dyDescent="0.3">
      <c r="A225" s="327" t="s">
        <v>934</v>
      </c>
      <c r="B225" t="s">
        <v>935</v>
      </c>
      <c r="C225" s="323" t="s">
        <v>3334</v>
      </c>
      <c r="D225" s="327" t="str">
        <f t="shared" si="6"/>
        <v>NACE C - 20.60 Manufacture of man-made fibres</v>
      </c>
      <c r="E225" s="324" t="s">
        <v>936</v>
      </c>
      <c r="F225" t="s">
        <v>937</v>
      </c>
      <c r="G225" t="str">
        <f t="shared" si="7"/>
        <v>TK</v>
      </c>
      <c r="K225" t="s">
        <v>4874</v>
      </c>
    </row>
    <row r="226" spans="1:11" x14ac:dyDescent="0.3">
      <c r="A226" s="323" t="s">
        <v>938</v>
      </c>
      <c r="B226" t="s">
        <v>939</v>
      </c>
      <c r="C226" s="326" t="s">
        <v>3335</v>
      </c>
      <c r="D226" s="323" t="str">
        <f t="shared" si="6"/>
        <v>NACE C - 21 Manufacture of basic pharmaceutical products and pharmaceutical preparations</v>
      </c>
      <c r="E226" s="324" t="s">
        <v>940</v>
      </c>
      <c r="F226" t="s">
        <v>941</v>
      </c>
      <c r="G226" t="str">
        <f t="shared" si="7"/>
        <v>TL</v>
      </c>
      <c r="K226" t="s">
        <v>4875</v>
      </c>
    </row>
    <row r="227" spans="1:11" x14ac:dyDescent="0.3">
      <c r="A227" s="326" t="s">
        <v>942</v>
      </c>
      <c r="B227" t="s">
        <v>943</v>
      </c>
      <c r="C227" s="326" t="s">
        <v>3336</v>
      </c>
      <c r="D227" s="326" t="str">
        <f t="shared" si="6"/>
        <v>NACE C - 21.1 Manufacture of basic pharmaceutical products</v>
      </c>
      <c r="E227" s="324" t="s">
        <v>944</v>
      </c>
      <c r="F227" t="s">
        <v>945</v>
      </c>
      <c r="G227" t="str">
        <f t="shared" si="7"/>
        <v>TM</v>
      </c>
      <c r="K227" t="s">
        <v>4876</v>
      </c>
    </row>
    <row r="228" spans="1:11" x14ac:dyDescent="0.3">
      <c r="A228" s="327" t="s">
        <v>946</v>
      </c>
      <c r="B228" t="s">
        <v>947</v>
      </c>
      <c r="C228" s="326" t="s">
        <v>3337</v>
      </c>
      <c r="D228" s="327" t="str">
        <f t="shared" si="6"/>
        <v>NACE C - 21.10 Manufacture of basic pharmaceutical products</v>
      </c>
      <c r="E228" s="324" t="s">
        <v>948</v>
      </c>
      <c r="F228" t="s">
        <v>949</v>
      </c>
      <c r="G228" t="str">
        <f t="shared" si="7"/>
        <v>TN</v>
      </c>
      <c r="K228" t="s">
        <v>4877</v>
      </c>
    </row>
    <row r="229" spans="1:11" x14ac:dyDescent="0.3">
      <c r="A229" s="326" t="s">
        <v>950</v>
      </c>
      <c r="B229" t="s">
        <v>951</v>
      </c>
      <c r="C229" s="324" t="s">
        <v>3315</v>
      </c>
      <c r="D229" s="326" t="str">
        <f t="shared" si="6"/>
        <v>NACE C - 21.2 Manufacture of pharmaceutical preparations</v>
      </c>
      <c r="E229" s="324" t="s">
        <v>952</v>
      </c>
      <c r="F229" t="s">
        <v>953</v>
      </c>
      <c r="G229" t="str">
        <f t="shared" si="7"/>
        <v>TO</v>
      </c>
      <c r="K229" t="s">
        <v>4878</v>
      </c>
    </row>
    <row r="230" spans="1:11" x14ac:dyDescent="0.3">
      <c r="A230" s="327" t="s">
        <v>954</v>
      </c>
      <c r="B230" t="s">
        <v>955</v>
      </c>
      <c r="C230" s="323" t="s">
        <v>3339</v>
      </c>
      <c r="D230" s="327" t="str">
        <f t="shared" si="6"/>
        <v>NACE C - 21.20 Manufacture of pharmaceutical preparations</v>
      </c>
      <c r="E230" s="324" t="s">
        <v>956</v>
      </c>
      <c r="F230" t="s">
        <v>957</v>
      </c>
      <c r="G230" t="str">
        <f t="shared" si="7"/>
        <v>TP</v>
      </c>
      <c r="K230" t="s">
        <v>4879</v>
      </c>
    </row>
    <row r="231" spans="1:11" x14ac:dyDescent="0.3">
      <c r="A231" s="323" t="s">
        <v>958</v>
      </c>
      <c r="B231" t="s">
        <v>959</v>
      </c>
      <c r="C231" s="326" t="s">
        <v>3340</v>
      </c>
      <c r="D231" s="323" t="str">
        <f t="shared" si="6"/>
        <v>NACE C - 22 Manufacture of rubber and plastic products</v>
      </c>
      <c r="E231" s="324" t="s">
        <v>960</v>
      </c>
      <c r="F231" t="s">
        <v>961</v>
      </c>
      <c r="G231" t="str">
        <f t="shared" si="7"/>
        <v>TR</v>
      </c>
      <c r="K231" t="s">
        <v>4880</v>
      </c>
    </row>
    <row r="232" spans="1:11" x14ac:dyDescent="0.3">
      <c r="A232" s="326" t="s">
        <v>962</v>
      </c>
      <c r="B232" t="s">
        <v>963</v>
      </c>
      <c r="C232" s="326" t="s">
        <v>3341</v>
      </c>
      <c r="D232" s="326" t="str">
        <f t="shared" si="6"/>
        <v>NACE C - 22.1 Manufacture of rubber products</v>
      </c>
      <c r="E232" s="324" t="s">
        <v>964</v>
      </c>
      <c r="F232" t="s">
        <v>965</v>
      </c>
      <c r="G232" t="str">
        <f t="shared" si="7"/>
        <v>TT</v>
      </c>
      <c r="K232" t="s">
        <v>4881</v>
      </c>
    </row>
    <row r="233" spans="1:11" x14ac:dyDescent="0.3">
      <c r="A233" s="327" t="s">
        <v>966</v>
      </c>
      <c r="B233" t="s">
        <v>967</v>
      </c>
      <c r="C233" s="326" t="s">
        <v>3342</v>
      </c>
      <c r="D233" s="327" t="str">
        <f t="shared" si="6"/>
        <v>NACE C - 22.11 Manufacture, retreading and rebuilding of rubber tyres and manufacture of tubes</v>
      </c>
      <c r="E233" s="324" t="s">
        <v>968</v>
      </c>
      <c r="F233" t="s">
        <v>969</v>
      </c>
      <c r="G233" t="str">
        <f t="shared" si="7"/>
        <v>TV</v>
      </c>
      <c r="K233" t="s">
        <v>4882</v>
      </c>
    </row>
    <row r="234" spans="1:11" x14ac:dyDescent="0.3">
      <c r="A234" s="327" t="s">
        <v>970</v>
      </c>
      <c r="B234" t="s">
        <v>971</v>
      </c>
      <c r="C234" s="326" t="s">
        <v>3343</v>
      </c>
      <c r="D234" s="327" t="str">
        <f t="shared" si="6"/>
        <v>NACE C - 22.12 Manufacture of other rubber products</v>
      </c>
      <c r="E234" s="324" t="s">
        <v>972</v>
      </c>
      <c r="F234" t="s">
        <v>973</v>
      </c>
      <c r="G234" t="str">
        <f t="shared" si="7"/>
        <v>TW</v>
      </c>
      <c r="K234" t="s">
        <v>4883</v>
      </c>
    </row>
    <row r="235" spans="1:11" x14ac:dyDescent="0.3">
      <c r="A235" s="326" t="s">
        <v>974</v>
      </c>
      <c r="B235" t="s">
        <v>975</v>
      </c>
      <c r="C235" s="326" t="s">
        <v>3344</v>
      </c>
      <c r="D235" s="326" t="str">
        <f t="shared" si="6"/>
        <v>NACE C - 22.2 Manufacture of plastic products</v>
      </c>
      <c r="E235" s="324" t="s">
        <v>976</v>
      </c>
      <c r="F235" t="s">
        <v>977</v>
      </c>
      <c r="G235" t="str">
        <f t="shared" si="7"/>
        <v>TZ</v>
      </c>
      <c r="K235" t="s">
        <v>4884</v>
      </c>
    </row>
    <row r="236" spans="1:11" x14ac:dyDescent="0.3">
      <c r="A236" s="327" t="s">
        <v>978</v>
      </c>
      <c r="B236" t="s">
        <v>979</v>
      </c>
      <c r="C236" s="323" t="s">
        <v>3345</v>
      </c>
      <c r="D236" s="327" t="str">
        <f t="shared" si="6"/>
        <v>NACE C - 22.21 Manufacture of plastic plates, sheets, tubes and profiles</v>
      </c>
      <c r="E236" s="324" t="s">
        <v>980</v>
      </c>
      <c r="F236" t="s">
        <v>981</v>
      </c>
      <c r="G236" t="str">
        <f t="shared" si="7"/>
        <v>UA</v>
      </c>
      <c r="K236" t="s">
        <v>4885</v>
      </c>
    </row>
    <row r="237" spans="1:11" x14ac:dyDescent="0.3">
      <c r="A237" s="327" t="s">
        <v>982</v>
      </c>
      <c r="B237" t="s">
        <v>983</v>
      </c>
      <c r="C237" s="326" t="s">
        <v>3346</v>
      </c>
      <c r="D237" s="327" t="str">
        <f t="shared" si="6"/>
        <v>NACE C - 22.22 Manufacture of plastic packing goods</v>
      </c>
      <c r="E237" s="324" t="s">
        <v>984</v>
      </c>
      <c r="F237" t="s">
        <v>985</v>
      </c>
      <c r="G237" t="str">
        <f t="shared" si="7"/>
        <v>UG</v>
      </c>
      <c r="K237" t="s">
        <v>4886</v>
      </c>
    </row>
    <row r="238" spans="1:11" x14ac:dyDescent="0.3">
      <c r="A238" s="327" t="s">
        <v>986</v>
      </c>
      <c r="B238" t="s">
        <v>987</v>
      </c>
      <c r="C238" s="326" t="s">
        <v>3347</v>
      </c>
      <c r="D238" s="327" t="str">
        <f t="shared" si="6"/>
        <v>NACE C - 22.23 Manufacture of doors and windows of plastic</v>
      </c>
      <c r="E238" s="324" t="s">
        <v>988</v>
      </c>
      <c r="F238" t="s">
        <v>989</v>
      </c>
      <c r="G238" t="str">
        <f t="shared" si="7"/>
        <v>UM</v>
      </c>
      <c r="K238" t="s">
        <v>4887</v>
      </c>
    </row>
    <row r="239" spans="1:11" x14ac:dyDescent="0.3">
      <c r="A239" s="327" t="s">
        <v>990</v>
      </c>
      <c r="B239" t="s">
        <v>991</v>
      </c>
      <c r="C239" s="327" t="s">
        <v>3348</v>
      </c>
      <c r="D239" s="327" t="str">
        <f t="shared" si="6"/>
        <v>NACE C - 22.24 Manufacture of builders’ ware of plastic</v>
      </c>
      <c r="E239" s="324" t="s">
        <v>992</v>
      </c>
      <c r="F239" t="s">
        <v>993</v>
      </c>
      <c r="G239" t="str">
        <f t="shared" si="7"/>
        <v>US</v>
      </c>
      <c r="K239" t="s">
        <v>4888</v>
      </c>
    </row>
    <row r="240" spans="1:11" x14ac:dyDescent="0.3">
      <c r="A240" s="327" t="s">
        <v>994</v>
      </c>
      <c r="B240" t="s">
        <v>995</v>
      </c>
      <c r="C240" s="326" t="s">
        <v>3349</v>
      </c>
      <c r="D240" s="327" t="str">
        <f t="shared" si="6"/>
        <v>NACE C - 22.25 Processing and finishing of plastic products</v>
      </c>
      <c r="E240" s="324" t="s">
        <v>996</v>
      </c>
      <c r="F240" t="s">
        <v>997</v>
      </c>
      <c r="G240" t="str">
        <f t="shared" si="7"/>
        <v>UY</v>
      </c>
      <c r="K240" t="s">
        <v>4889</v>
      </c>
    </row>
    <row r="241" spans="1:11" x14ac:dyDescent="0.3">
      <c r="A241" s="327" t="s">
        <v>998</v>
      </c>
      <c r="B241" t="s">
        <v>999</v>
      </c>
      <c r="C241" s="326" t="s">
        <v>3350</v>
      </c>
      <c r="D241" s="327" t="str">
        <f t="shared" si="6"/>
        <v>NACE C - 22.26 Manufacture of other plastic products</v>
      </c>
      <c r="E241" s="324" t="s">
        <v>1000</v>
      </c>
      <c r="F241" t="s">
        <v>1001</v>
      </c>
      <c r="G241" t="str">
        <f t="shared" si="7"/>
        <v>UZ</v>
      </c>
      <c r="K241" t="s">
        <v>4890</v>
      </c>
    </row>
    <row r="242" spans="1:11" x14ac:dyDescent="0.3">
      <c r="A242" s="323" t="s">
        <v>1002</v>
      </c>
      <c r="B242" t="s">
        <v>1003</v>
      </c>
      <c r="C242" s="324" t="s">
        <v>3338</v>
      </c>
      <c r="D242" s="323" t="str">
        <f t="shared" si="6"/>
        <v>NACE C - 23 Manufacture of other non-metallic mineral products</v>
      </c>
      <c r="E242" s="324" t="s">
        <v>1004</v>
      </c>
      <c r="F242" t="s">
        <v>1005</v>
      </c>
      <c r="G242" t="str">
        <f t="shared" si="7"/>
        <v>VA</v>
      </c>
      <c r="K242" t="s">
        <v>4891</v>
      </c>
    </row>
    <row r="243" spans="1:11" x14ac:dyDescent="0.3">
      <c r="A243" s="326" t="s">
        <v>1006</v>
      </c>
      <c r="B243" t="s">
        <v>1007</v>
      </c>
      <c r="C243" s="323" t="s">
        <v>3352</v>
      </c>
      <c r="D243" s="326" t="str">
        <f t="shared" si="6"/>
        <v>NACE C - 23.1 Manufacture of glass and glass products</v>
      </c>
      <c r="E243" s="324" t="s">
        <v>1008</v>
      </c>
      <c r="F243" t="s">
        <v>1009</v>
      </c>
      <c r="G243" t="str">
        <f t="shared" si="7"/>
        <v>VC</v>
      </c>
      <c r="K243" t="s">
        <v>4892</v>
      </c>
    </row>
    <row r="244" spans="1:11" x14ac:dyDescent="0.3">
      <c r="A244" s="327" t="s">
        <v>1010</v>
      </c>
      <c r="B244" t="s">
        <v>1011</v>
      </c>
      <c r="C244" s="326" t="s">
        <v>3353</v>
      </c>
      <c r="D244" s="327" t="str">
        <f t="shared" si="6"/>
        <v>NACE C - 23.11 Manufacture of flat glass</v>
      </c>
      <c r="E244" s="324" t="s">
        <v>1012</v>
      </c>
      <c r="F244" t="s">
        <v>1013</v>
      </c>
      <c r="G244" t="str">
        <f t="shared" si="7"/>
        <v>VE</v>
      </c>
      <c r="K244" t="s">
        <v>4893</v>
      </c>
    </row>
    <row r="245" spans="1:11" x14ac:dyDescent="0.3">
      <c r="A245" s="327" t="s">
        <v>1014</v>
      </c>
      <c r="B245" t="s">
        <v>1015</v>
      </c>
      <c r="C245" s="326" t="s">
        <v>3354</v>
      </c>
      <c r="D245" s="327" t="str">
        <f t="shared" si="6"/>
        <v>NACE C - 23.12 Shaping and processing of flat glass</v>
      </c>
      <c r="E245" s="324" t="s">
        <v>1016</v>
      </c>
      <c r="F245" t="s">
        <v>1017</v>
      </c>
      <c r="G245" t="str">
        <f t="shared" si="7"/>
        <v>VG</v>
      </c>
      <c r="K245" t="s">
        <v>4894</v>
      </c>
    </row>
    <row r="246" spans="1:11" x14ac:dyDescent="0.3">
      <c r="A246" s="327" t="s">
        <v>1018</v>
      </c>
      <c r="B246" t="s">
        <v>1019</v>
      </c>
      <c r="C246" s="323" t="s">
        <v>3355</v>
      </c>
      <c r="D246" s="327" t="str">
        <f t="shared" si="6"/>
        <v>NACE C - 23.13 Manufacture of hollow glass</v>
      </c>
      <c r="E246" s="324" t="s">
        <v>1020</v>
      </c>
      <c r="F246" t="s">
        <v>1021</v>
      </c>
      <c r="G246" t="str">
        <f t="shared" si="7"/>
        <v>VI</v>
      </c>
      <c r="K246" t="s">
        <v>4895</v>
      </c>
    </row>
    <row r="247" spans="1:11" x14ac:dyDescent="0.3">
      <c r="A247" s="327" t="s">
        <v>1022</v>
      </c>
      <c r="B247" t="s">
        <v>1023</v>
      </c>
      <c r="C247" s="326" t="s">
        <v>3356</v>
      </c>
      <c r="D247" s="327" t="str">
        <f t="shared" si="6"/>
        <v>NACE C - 23.14 Manufacture of glass fibres</v>
      </c>
      <c r="E247" s="324" t="s">
        <v>1024</v>
      </c>
      <c r="F247" t="s">
        <v>1025</v>
      </c>
      <c r="G247" t="str">
        <f t="shared" si="7"/>
        <v>VN</v>
      </c>
      <c r="K247" t="s">
        <v>4896</v>
      </c>
    </row>
    <row r="248" spans="1:11" x14ac:dyDescent="0.3">
      <c r="A248" s="327" t="s">
        <v>1026</v>
      </c>
      <c r="B248" t="s">
        <v>1027</v>
      </c>
      <c r="C248" s="326" t="s">
        <v>3357</v>
      </c>
      <c r="D248" s="327" t="str">
        <f t="shared" si="6"/>
        <v>NACE C - 23.15 Manufacture and processing of other glass, including technical glassware</v>
      </c>
      <c r="E248" s="324" t="s">
        <v>1028</v>
      </c>
      <c r="F248" t="s">
        <v>1029</v>
      </c>
      <c r="G248" t="str">
        <f t="shared" si="7"/>
        <v>VU</v>
      </c>
      <c r="K248" t="s">
        <v>4897</v>
      </c>
    </row>
    <row r="249" spans="1:11" x14ac:dyDescent="0.3">
      <c r="A249" s="326" t="s">
        <v>1030</v>
      </c>
      <c r="B249" t="s">
        <v>1031</v>
      </c>
      <c r="C249" s="323" t="s">
        <v>3358</v>
      </c>
      <c r="D249" s="326" t="str">
        <f t="shared" si="6"/>
        <v>NACE C - 23.2 Manufacture of refractory products</v>
      </c>
      <c r="E249" s="324" t="s">
        <v>1032</v>
      </c>
      <c r="F249" t="s">
        <v>1033</v>
      </c>
      <c r="G249" t="str">
        <f t="shared" si="7"/>
        <v>WF</v>
      </c>
      <c r="K249" t="s">
        <v>4898</v>
      </c>
    </row>
    <row r="250" spans="1:11" x14ac:dyDescent="0.3">
      <c r="A250" s="327" t="s">
        <v>1034</v>
      </c>
      <c r="B250" t="s">
        <v>1035</v>
      </c>
      <c r="C250" s="326" t="s">
        <v>3359</v>
      </c>
      <c r="D250" s="327" t="str">
        <f t="shared" si="6"/>
        <v>NACE C - 23.20 Manufacture of refractory products</v>
      </c>
      <c r="E250" s="324" t="s">
        <v>1036</v>
      </c>
      <c r="F250" t="s">
        <v>1037</v>
      </c>
      <c r="G250" t="str">
        <f t="shared" si="7"/>
        <v>WS</v>
      </c>
      <c r="K250" t="s">
        <v>4899</v>
      </c>
    </row>
    <row r="251" spans="1:11" x14ac:dyDescent="0.3">
      <c r="A251" s="326" t="s">
        <v>1038</v>
      </c>
      <c r="B251" t="s">
        <v>1039</v>
      </c>
      <c r="C251" s="326" t="s">
        <v>3360</v>
      </c>
      <c r="D251" s="326" t="str">
        <f t="shared" si="6"/>
        <v>NACE C - 23.3 Manufacture of clay building materials</v>
      </c>
      <c r="E251" s="324" t="s">
        <v>1040</v>
      </c>
      <c r="F251" t="s">
        <v>1041</v>
      </c>
      <c r="G251" t="str">
        <f t="shared" si="7"/>
        <v>YE</v>
      </c>
      <c r="K251" t="s">
        <v>4900</v>
      </c>
    </row>
    <row r="252" spans="1:11" x14ac:dyDescent="0.3">
      <c r="A252" s="327" t="s">
        <v>1042</v>
      </c>
      <c r="B252" t="s">
        <v>1043</v>
      </c>
      <c r="C252" s="326" t="s">
        <v>3361</v>
      </c>
      <c r="D252" s="327" t="str">
        <f t="shared" si="6"/>
        <v>NACE C - 23.31 Manufacture of ceramic tiles and flags</v>
      </c>
      <c r="E252" s="324" t="s">
        <v>1044</v>
      </c>
      <c r="F252" t="s">
        <v>1045</v>
      </c>
      <c r="G252" t="str">
        <f t="shared" si="7"/>
        <v>YT</v>
      </c>
      <c r="K252" t="s">
        <v>4901</v>
      </c>
    </row>
    <row r="253" spans="1:11" x14ac:dyDescent="0.3">
      <c r="A253" s="327" t="s">
        <v>1046</v>
      </c>
      <c r="B253" t="s">
        <v>1047</v>
      </c>
      <c r="C253" s="324" t="s">
        <v>3351</v>
      </c>
      <c r="D253" s="327" t="str">
        <f t="shared" si="6"/>
        <v>NACE C - 23.32 Manufacture of bricks, tiles and construction products, in baked clay</v>
      </c>
      <c r="E253" s="324" t="s">
        <v>1048</v>
      </c>
      <c r="F253" t="s">
        <v>1049</v>
      </c>
      <c r="G253" t="str">
        <f t="shared" si="7"/>
        <v>YU</v>
      </c>
      <c r="K253" t="s">
        <v>4902</v>
      </c>
    </row>
    <row r="254" spans="1:11" x14ac:dyDescent="0.3">
      <c r="A254" s="326" t="s">
        <v>1050</v>
      </c>
      <c r="B254" t="s">
        <v>1051</v>
      </c>
      <c r="C254" s="323" t="s">
        <v>3363</v>
      </c>
      <c r="D254" s="326" t="str">
        <f t="shared" si="6"/>
        <v>NACE C - 23.4 Manufacture of other porcelain and ceramic products</v>
      </c>
      <c r="E254" s="324" t="s">
        <v>1052</v>
      </c>
      <c r="F254" t="s">
        <v>1053</v>
      </c>
      <c r="G254" t="str">
        <f t="shared" si="7"/>
        <v>ZA</v>
      </c>
      <c r="K254" t="s">
        <v>4903</v>
      </c>
    </row>
    <row r="255" spans="1:11" x14ac:dyDescent="0.3">
      <c r="A255" s="327" t="s">
        <v>1054</v>
      </c>
      <c r="B255" t="s">
        <v>1055</v>
      </c>
      <c r="C255" s="326" t="s">
        <v>3364</v>
      </c>
      <c r="D255" s="327" t="str">
        <f t="shared" si="6"/>
        <v>NACE C - 23.41 Manufacture of ceramic household and ornamental articles</v>
      </c>
      <c r="E255" s="324" t="s">
        <v>1056</v>
      </c>
      <c r="F255" t="s">
        <v>1057</v>
      </c>
      <c r="G255" t="str">
        <f t="shared" si="7"/>
        <v>ZM</v>
      </c>
      <c r="K255" t="s">
        <v>4904</v>
      </c>
    </row>
    <row r="256" spans="1:11" x14ac:dyDescent="0.3">
      <c r="A256" s="327" t="s">
        <v>1058</v>
      </c>
      <c r="B256" t="s">
        <v>1059</v>
      </c>
      <c r="C256" s="326" t="s">
        <v>3365</v>
      </c>
      <c r="D256" s="327" t="str">
        <f t="shared" si="6"/>
        <v>NACE C - 23.42 Manufacture of ceramic sanitary fixtures</v>
      </c>
      <c r="E256" s="324" t="s">
        <v>1060</v>
      </c>
      <c r="F256" t="s">
        <v>1061</v>
      </c>
      <c r="G256" t="str">
        <f t="shared" si="7"/>
        <v>ZR</v>
      </c>
      <c r="K256" t="s">
        <v>4905</v>
      </c>
    </row>
    <row r="257" spans="1:11" x14ac:dyDescent="0.3">
      <c r="A257" s="327" t="s">
        <v>1062</v>
      </c>
      <c r="B257" t="s">
        <v>1063</v>
      </c>
      <c r="C257" s="326" t="s">
        <v>3366</v>
      </c>
      <c r="D257" s="327" t="str">
        <f t="shared" si="6"/>
        <v>NACE C - 23.43 Manufacture of ceramic insulators and insulating fittings</v>
      </c>
      <c r="E257" s="324" t="s">
        <v>1064</v>
      </c>
      <c r="F257" t="s">
        <v>1065</v>
      </c>
      <c r="G257" t="str">
        <f t="shared" si="7"/>
        <v>ZW</v>
      </c>
      <c r="K257" t="s">
        <v>4906</v>
      </c>
    </row>
    <row r="258" spans="1:11" x14ac:dyDescent="0.3">
      <c r="A258" s="327" t="s">
        <v>1066</v>
      </c>
      <c r="B258" t="s">
        <v>1067</v>
      </c>
      <c r="C258" s="323" t="s">
        <v>3367</v>
      </c>
      <c r="D258" s="327" t="str">
        <f t="shared" ref="D258:D321" si="8">_xlfn.CONCAT("NACE ", A258)</f>
        <v>NACE C - 23.44 Manufacture of other technical ceramic products</v>
      </c>
      <c r="K258" t="s">
        <v>4907</v>
      </c>
    </row>
    <row r="259" spans="1:11" x14ac:dyDescent="0.3">
      <c r="A259" s="327" t="s">
        <v>1068</v>
      </c>
      <c r="B259" t="s">
        <v>1069</v>
      </c>
      <c r="C259" s="326" t="s">
        <v>3368</v>
      </c>
      <c r="D259" s="327" t="str">
        <f t="shared" si="8"/>
        <v>NACE C - 23.45 Manufacture of other ceramic products</v>
      </c>
      <c r="K259" t="s">
        <v>4908</v>
      </c>
    </row>
    <row r="260" spans="1:11" x14ac:dyDescent="0.3">
      <c r="A260" s="326" t="s">
        <v>1070</v>
      </c>
      <c r="B260" t="s">
        <v>1071</v>
      </c>
      <c r="C260" s="326" t="s">
        <v>3369</v>
      </c>
      <c r="D260" s="326" t="str">
        <f t="shared" si="8"/>
        <v>NACE C - 23.5 Manufacture of cement, lime and plaster</v>
      </c>
      <c r="K260" t="s">
        <v>4909</v>
      </c>
    </row>
    <row r="261" spans="1:11" x14ac:dyDescent="0.3">
      <c r="A261" s="327" t="s">
        <v>1072</v>
      </c>
      <c r="B261" t="s">
        <v>1073</v>
      </c>
      <c r="C261" s="326" t="s">
        <v>3370</v>
      </c>
      <c r="D261" s="327" t="str">
        <f t="shared" si="8"/>
        <v>NACE C - 23.51 Manufacture of cement</v>
      </c>
      <c r="K261" t="s">
        <v>4910</v>
      </c>
    </row>
    <row r="262" spans="1:11" x14ac:dyDescent="0.3">
      <c r="A262" s="327" t="s">
        <v>1074</v>
      </c>
      <c r="B262" t="s">
        <v>1075</v>
      </c>
      <c r="C262" s="323" t="s">
        <v>3371</v>
      </c>
      <c r="D262" s="327" t="str">
        <f t="shared" si="8"/>
        <v>NACE C - 23.52 Manufacture of lime and plaster</v>
      </c>
      <c r="K262" t="s">
        <v>4911</v>
      </c>
    </row>
    <row r="263" spans="1:11" x14ac:dyDescent="0.3">
      <c r="A263" s="326" t="s">
        <v>1076</v>
      </c>
      <c r="B263" t="s">
        <v>1077</v>
      </c>
      <c r="C263" s="326" t="s">
        <v>3372</v>
      </c>
      <c r="D263" s="326" t="str">
        <f t="shared" si="8"/>
        <v>NACE C - 23.6 Manufacture of articles of concrete, cement and plaster</v>
      </c>
      <c r="K263" t="s">
        <v>4912</v>
      </c>
    </row>
    <row r="264" spans="1:11" x14ac:dyDescent="0.3">
      <c r="A264" s="327" t="s">
        <v>1078</v>
      </c>
      <c r="B264" t="s">
        <v>1079</v>
      </c>
      <c r="C264" s="326" t="s">
        <v>3373</v>
      </c>
      <c r="D264" s="327" t="str">
        <f t="shared" si="8"/>
        <v>NACE C - 23.61 Manufacture of concrete products for construction purposes</v>
      </c>
      <c r="K264" t="s">
        <v>4913</v>
      </c>
    </row>
    <row r="265" spans="1:11" x14ac:dyDescent="0.3">
      <c r="A265" s="327" t="s">
        <v>1080</v>
      </c>
      <c r="B265" t="s">
        <v>1081</v>
      </c>
      <c r="C265" s="324" t="s">
        <v>3362</v>
      </c>
      <c r="D265" s="327" t="str">
        <f t="shared" si="8"/>
        <v>NACE C - 23.62 Manufacture of plaster products for construction purposes</v>
      </c>
      <c r="K265" t="s">
        <v>4914</v>
      </c>
    </row>
    <row r="266" spans="1:11" x14ac:dyDescent="0.3">
      <c r="A266" s="327" t="s">
        <v>1082</v>
      </c>
      <c r="B266" t="s">
        <v>1083</v>
      </c>
      <c r="C266" s="323" t="s">
        <v>3375</v>
      </c>
      <c r="D266" s="327" t="str">
        <f t="shared" si="8"/>
        <v>NACE C - 23.63 Manufacture of ready-mixed concrete</v>
      </c>
      <c r="K266" t="s">
        <v>4915</v>
      </c>
    </row>
    <row r="267" spans="1:11" x14ac:dyDescent="0.3">
      <c r="A267" s="327" t="s">
        <v>1084</v>
      </c>
      <c r="B267" t="s">
        <v>1085</v>
      </c>
      <c r="C267" s="326" t="s">
        <v>3376</v>
      </c>
      <c r="D267" s="327" t="str">
        <f t="shared" si="8"/>
        <v>NACE C - 23.64 Manufacture of mortars</v>
      </c>
      <c r="K267" t="s">
        <v>4916</v>
      </c>
    </row>
    <row r="268" spans="1:11" x14ac:dyDescent="0.3">
      <c r="A268" s="327" t="s">
        <v>1086</v>
      </c>
      <c r="B268" t="s">
        <v>1087</v>
      </c>
      <c r="C268" s="326" t="s">
        <v>3377</v>
      </c>
      <c r="D268" s="327" t="str">
        <f t="shared" si="8"/>
        <v>NACE C - 23.65 Manufacture of fibre cement</v>
      </c>
      <c r="K268" t="s">
        <v>4917</v>
      </c>
    </row>
    <row r="269" spans="1:11" x14ac:dyDescent="0.3">
      <c r="A269" s="327" t="s">
        <v>1088</v>
      </c>
      <c r="B269" t="s">
        <v>1089</v>
      </c>
      <c r="C269" s="326" t="s">
        <v>3378</v>
      </c>
      <c r="D269" s="327" t="str">
        <f t="shared" si="8"/>
        <v>NACE C - 23.66 Manufacture of other articles of concrete, cement and plaster</v>
      </c>
      <c r="K269" t="s">
        <v>4918</v>
      </c>
    </row>
    <row r="270" spans="1:11" x14ac:dyDescent="0.3">
      <c r="A270" s="326" t="s">
        <v>1090</v>
      </c>
      <c r="B270" t="s">
        <v>1091</v>
      </c>
      <c r="C270" s="326" t="s">
        <v>3379</v>
      </c>
      <c r="D270" s="326" t="str">
        <f t="shared" si="8"/>
        <v>NACE C - 23.7 Cutting, shaping and finishing of stone</v>
      </c>
      <c r="K270" t="s">
        <v>4919</v>
      </c>
    </row>
    <row r="271" spans="1:11" x14ac:dyDescent="0.3">
      <c r="A271" s="327" t="s">
        <v>1092</v>
      </c>
      <c r="B271" t="s">
        <v>1093</v>
      </c>
      <c r="C271" s="323" t="s">
        <v>3380</v>
      </c>
      <c r="D271" s="327" t="str">
        <f t="shared" si="8"/>
        <v>NACE C - 23.70 Cutting, shaping and finishing of stone</v>
      </c>
      <c r="K271" t="s">
        <v>4920</v>
      </c>
    </row>
    <row r="272" spans="1:11" x14ac:dyDescent="0.3">
      <c r="A272" s="326" t="s">
        <v>1094</v>
      </c>
      <c r="B272" t="s">
        <v>1095</v>
      </c>
      <c r="C272" s="326" t="s">
        <v>3381</v>
      </c>
      <c r="D272" s="326" t="str">
        <f t="shared" si="8"/>
        <v>NACE C - 23.9 Manufacture of abrasive products and non-metallic mineral products n.e.c.</v>
      </c>
      <c r="K272" t="s">
        <v>4921</v>
      </c>
    </row>
    <row r="273" spans="1:11" x14ac:dyDescent="0.3">
      <c r="A273" s="327" t="s">
        <v>1096</v>
      </c>
      <c r="B273" t="s">
        <v>1097</v>
      </c>
      <c r="C273" s="326" t="s">
        <v>3382</v>
      </c>
      <c r="D273" s="327" t="str">
        <f t="shared" si="8"/>
        <v>NACE C - 23.91 Manufacture of abrasive products</v>
      </c>
      <c r="K273" t="s">
        <v>4922</v>
      </c>
    </row>
    <row r="274" spans="1:11" x14ac:dyDescent="0.3">
      <c r="A274" s="327" t="s">
        <v>1098</v>
      </c>
      <c r="B274" t="s">
        <v>1099</v>
      </c>
      <c r="C274" s="326" t="s">
        <v>3383</v>
      </c>
      <c r="D274" s="327" t="str">
        <f t="shared" si="8"/>
        <v>NACE C - 23.99 Manufacture of other non-metallic mineral products n.e.c.</v>
      </c>
      <c r="K274" t="s">
        <v>4923</v>
      </c>
    </row>
    <row r="275" spans="1:11" x14ac:dyDescent="0.3">
      <c r="A275" s="323" t="s">
        <v>1100</v>
      </c>
      <c r="B275" t="s">
        <v>1101</v>
      </c>
      <c r="C275" s="323" t="s">
        <v>3384</v>
      </c>
      <c r="D275" s="323" t="str">
        <f t="shared" si="8"/>
        <v>NACE C - 24 Manufacture of basic metals</v>
      </c>
      <c r="K275" t="s">
        <v>4924</v>
      </c>
    </row>
    <row r="276" spans="1:11" x14ac:dyDescent="0.3">
      <c r="A276" s="326" t="s">
        <v>1102</v>
      </c>
      <c r="B276" t="s">
        <v>1103</v>
      </c>
      <c r="C276" s="326" t="s">
        <v>3385</v>
      </c>
      <c r="D276" s="326" t="str">
        <f t="shared" si="8"/>
        <v>NACE C - 24.1 Manufacture of basic iron and steel and of ferro-alloys</v>
      </c>
      <c r="K276" t="s">
        <v>4925</v>
      </c>
    </row>
    <row r="277" spans="1:11" x14ac:dyDescent="0.3">
      <c r="A277" s="327" t="s">
        <v>1104</v>
      </c>
      <c r="B277" t="s">
        <v>1105</v>
      </c>
      <c r="C277" s="326" t="s">
        <v>3386</v>
      </c>
      <c r="D277" s="327" t="str">
        <f t="shared" si="8"/>
        <v>NACE C - 24.10 Manufacture of basic iron and steel and of ferro-alloys</v>
      </c>
      <c r="K277" t="s">
        <v>4926</v>
      </c>
    </row>
    <row r="278" spans="1:11" x14ac:dyDescent="0.3">
      <c r="A278" s="326" t="s">
        <v>1106</v>
      </c>
      <c r="B278" t="s">
        <v>1107</v>
      </c>
      <c r="C278" s="326" t="s">
        <v>3387</v>
      </c>
      <c r="D278" s="326" t="str">
        <f t="shared" si="8"/>
        <v>NACE C - 24.2 Manufacture of tubes, pipes, hollow profiles and related fittings, of steel</v>
      </c>
      <c r="K278" t="s">
        <v>4927</v>
      </c>
    </row>
    <row r="279" spans="1:11" x14ac:dyDescent="0.3">
      <c r="A279" s="327" t="s">
        <v>1108</v>
      </c>
      <c r="B279" t="s">
        <v>1109</v>
      </c>
      <c r="C279" s="324" t="s">
        <v>3374</v>
      </c>
      <c r="D279" s="327" t="str">
        <f t="shared" si="8"/>
        <v>NACE C - 24.20 Manufacture of tubes, pipes, hollow profiles and related fittings, of steel</v>
      </c>
      <c r="K279" t="s">
        <v>4928</v>
      </c>
    </row>
    <row r="280" spans="1:11" x14ac:dyDescent="0.3">
      <c r="A280" s="326" t="s">
        <v>1110</v>
      </c>
      <c r="B280" t="s">
        <v>1111</v>
      </c>
      <c r="C280" s="323" t="s">
        <v>3389</v>
      </c>
      <c r="D280" s="326" t="str">
        <f t="shared" si="8"/>
        <v>NACE C - 24.3 Manufacture of other products of first processing of steel</v>
      </c>
      <c r="K280" t="s">
        <v>4929</v>
      </c>
    </row>
    <row r="281" spans="1:11" x14ac:dyDescent="0.3">
      <c r="A281" s="327" t="s">
        <v>1112</v>
      </c>
      <c r="B281" t="s">
        <v>1113</v>
      </c>
      <c r="C281" s="326" t="s">
        <v>3390</v>
      </c>
      <c r="D281" s="327" t="str">
        <f t="shared" si="8"/>
        <v>NACE C - 24.31 Cold drawing of bars</v>
      </c>
      <c r="K281" t="s">
        <v>4930</v>
      </c>
    </row>
    <row r="282" spans="1:11" x14ac:dyDescent="0.3">
      <c r="A282" s="327" t="s">
        <v>1114</v>
      </c>
      <c r="B282" t="s">
        <v>1115</v>
      </c>
      <c r="C282" s="326" t="s">
        <v>3391</v>
      </c>
      <c r="D282" s="327" t="str">
        <f t="shared" si="8"/>
        <v>NACE C - 24.32 Cold rolling of narrow strip</v>
      </c>
      <c r="K282" t="s">
        <v>4931</v>
      </c>
    </row>
    <row r="283" spans="1:11" x14ac:dyDescent="0.3">
      <c r="A283" s="327" t="s">
        <v>1116</v>
      </c>
      <c r="B283" t="s">
        <v>1117</v>
      </c>
      <c r="C283" s="326" t="s">
        <v>3392</v>
      </c>
      <c r="D283" s="327" t="str">
        <f t="shared" si="8"/>
        <v>NACE C - 24.33 Cold forming or folding</v>
      </c>
      <c r="K283" t="s">
        <v>4932</v>
      </c>
    </row>
    <row r="284" spans="1:11" x14ac:dyDescent="0.3">
      <c r="A284" s="327" t="s">
        <v>1118</v>
      </c>
      <c r="B284" t="s">
        <v>1119</v>
      </c>
      <c r="C284" s="324" t="s">
        <v>3388</v>
      </c>
      <c r="D284" s="327" t="str">
        <f t="shared" si="8"/>
        <v>NACE C - 24.34 Cold drawing of wire</v>
      </c>
      <c r="K284" t="s">
        <v>4933</v>
      </c>
    </row>
    <row r="285" spans="1:11" x14ac:dyDescent="0.3">
      <c r="A285" s="326" t="s">
        <v>1120</v>
      </c>
      <c r="B285" t="s">
        <v>1121</v>
      </c>
      <c r="C285" s="323" t="s">
        <v>3394</v>
      </c>
      <c r="D285" s="326" t="str">
        <f t="shared" si="8"/>
        <v>NACE C - 24.4 Manufacture of basic precious and other non-ferrous metals</v>
      </c>
      <c r="K285" t="s">
        <v>4934</v>
      </c>
    </row>
    <row r="286" spans="1:11" x14ac:dyDescent="0.3">
      <c r="A286" s="327" t="s">
        <v>1122</v>
      </c>
      <c r="B286" t="s">
        <v>1123</v>
      </c>
      <c r="C286" s="326" t="s">
        <v>3395</v>
      </c>
      <c r="D286" s="327" t="str">
        <f t="shared" si="8"/>
        <v>NACE C - 24.41 Precious metals production</v>
      </c>
      <c r="K286" t="s">
        <v>4935</v>
      </c>
    </row>
    <row r="287" spans="1:11" x14ac:dyDescent="0.3">
      <c r="A287" s="327" t="s">
        <v>1124</v>
      </c>
      <c r="B287" t="s">
        <v>1125</v>
      </c>
      <c r="C287" s="326" t="s">
        <v>3396</v>
      </c>
      <c r="D287" s="327" t="str">
        <f t="shared" si="8"/>
        <v>NACE C - 24.42 Aluminium production</v>
      </c>
      <c r="K287" t="s">
        <v>4936</v>
      </c>
    </row>
    <row r="288" spans="1:11" x14ac:dyDescent="0.3">
      <c r="A288" s="327" t="s">
        <v>1126</v>
      </c>
      <c r="B288" t="s">
        <v>1127</v>
      </c>
      <c r="C288" s="323" t="s">
        <v>3397</v>
      </c>
      <c r="D288" s="327" t="str">
        <f t="shared" si="8"/>
        <v>NACE C - 24.43 Lead, zinc and tin production</v>
      </c>
      <c r="K288" t="s">
        <v>4937</v>
      </c>
    </row>
    <row r="289" spans="1:11" x14ac:dyDescent="0.3">
      <c r="A289" s="327" t="s">
        <v>1128</v>
      </c>
      <c r="B289" t="s">
        <v>1129</v>
      </c>
      <c r="C289" s="326" t="s">
        <v>3398</v>
      </c>
      <c r="D289" s="327" t="str">
        <f t="shared" si="8"/>
        <v>NACE C - 24.44 Copper production</v>
      </c>
      <c r="K289" t="s">
        <v>4938</v>
      </c>
    </row>
    <row r="290" spans="1:11" x14ac:dyDescent="0.3">
      <c r="A290" s="327" t="s">
        <v>1130</v>
      </c>
      <c r="B290" t="s">
        <v>1131</v>
      </c>
      <c r="C290" s="326" t="s">
        <v>3399</v>
      </c>
      <c r="D290" s="327" t="str">
        <f t="shared" si="8"/>
        <v>NACE C - 24.45 Other non-ferrous metal production</v>
      </c>
      <c r="K290" t="s">
        <v>4939</v>
      </c>
    </row>
    <row r="291" spans="1:11" x14ac:dyDescent="0.3">
      <c r="A291" s="327" t="s">
        <v>1132</v>
      </c>
      <c r="B291" t="s">
        <v>1133</v>
      </c>
      <c r="C291" s="323" t="s">
        <v>3400</v>
      </c>
      <c r="D291" s="327" t="str">
        <f t="shared" si="8"/>
        <v>NACE C - 24.46 Processing of nuclear fuel</v>
      </c>
      <c r="K291" t="s">
        <v>4940</v>
      </c>
    </row>
    <row r="292" spans="1:11" x14ac:dyDescent="0.3">
      <c r="A292" s="326" t="s">
        <v>1134</v>
      </c>
      <c r="B292" t="s">
        <v>1135</v>
      </c>
      <c r="C292" s="326" t="s">
        <v>3401</v>
      </c>
      <c r="D292" s="326" t="str">
        <f t="shared" si="8"/>
        <v>NACE C - 24.5 Casting of metals</v>
      </c>
      <c r="K292" t="s">
        <v>4941</v>
      </c>
    </row>
    <row r="293" spans="1:11" x14ac:dyDescent="0.3">
      <c r="A293" s="327" t="s">
        <v>1136</v>
      </c>
      <c r="B293" t="s">
        <v>1137</v>
      </c>
      <c r="C293" s="326" t="s">
        <v>3402</v>
      </c>
      <c r="D293" s="327" t="str">
        <f t="shared" si="8"/>
        <v>NACE C - 24.51 Casting of iron</v>
      </c>
      <c r="K293" t="s">
        <v>4942</v>
      </c>
    </row>
    <row r="294" spans="1:11" x14ac:dyDescent="0.3">
      <c r="A294" s="327" t="s">
        <v>1138</v>
      </c>
      <c r="B294" t="s">
        <v>1139</v>
      </c>
      <c r="C294" s="323" t="s">
        <v>3403</v>
      </c>
      <c r="D294" s="327" t="str">
        <f t="shared" si="8"/>
        <v>NACE C - 24.52 Casting of steel</v>
      </c>
      <c r="K294" t="s">
        <v>4943</v>
      </c>
    </row>
    <row r="295" spans="1:11" x14ac:dyDescent="0.3">
      <c r="A295" s="327" t="s">
        <v>1140</v>
      </c>
      <c r="B295" t="s">
        <v>1141</v>
      </c>
      <c r="C295" s="326" t="s">
        <v>3404</v>
      </c>
      <c r="D295" s="327" t="str">
        <f t="shared" si="8"/>
        <v>NACE C - 24.53 Casting of light metals</v>
      </c>
      <c r="K295" t="s">
        <v>4944</v>
      </c>
    </row>
    <row r="296" spans="1:11" x14ac:dyDescent="0.3">
      <c r="A296" s="327" t="s">
        <v>1142</v>
      </c>
      <c r="B296" t="s">
        <v>1143</v>
      </c>
      <c r="C296" s="326" t="s">
        <v>3405</v>
      </c>
      <c r="D296" s="327" t="str">
        <f t="shared" si="8"/>
        <v>NACE C - 24.54 Casting of other non-ferrous metals</v>
      </c>
      <c r="K296" t="s">
        <v>4945</v>
      </c>
    </row>
    <row r="297" spans="1:11" x14ac:dyDescent="0.3">
      <c r="A297" s="323" t="s">
        <v>1144</v>
      </c>
      <c r="B297" t="s">
        <v>1145</v>
      </c>
      <c r="C297" s="323" t="s">
        <v>3406</v>
      </c>
      <c r="D297" s="323" t="str">
        <f t="shared" si="8"/>
        <v>NACE C - 25 Manufacture of fabricated metal products, except machinery and equipment</v>
      </c>
      <c r="K297" t="s">
        <v>4946</v>
      </c>
    </row>
    <row r="298" spans="1:11" x14ac:dyDescent="0.3">
      <c r="A298" s="326" t="s">
        <v>1146</v>
      </c>
      <c r="B298" t="s">
        <v>1147</v>
      </c>
      <c r="C298" s="326" t="s">
        <v>3407</v>
      </c>
      <c r="D298" s="326" t="str">
        <f t="shared" si="8"/>
        <v>NACE C - 25.1 Manufacture of structural metal products</v>
      </c>
      <c r="K298" t="s">
        <v>4947</v>
      </c>
    </row>
    <row r="299" spans="1:11" x14ac:dyDescent="0.3">
      <c r="A299" s="327" t="s">
        <v>1148</v>
      </c>
      <c r="B299" t="s">
        <v>1149</v>
      </c>
      <c r="C299" s="326" t="s">
        <v>3408</v>
      </c>
      <c r="D299" s="327" t="str">
        <f t="shared" si="8"/>
        <v>NACE C - 25.11 Manufacture of metal structures and parts of structures</v>
      </c>
      <c r="K299" t="s">
        <v>4644</v>
      </c>
    </row>
    <row r="300" spans="1:11" x14ac:dyDescent="0.3">
      <c r="A300" s="327" t="s">
        <v>1150</v>
      </c>
      <c r="B300" t="s">
        <v>1151</v>
      </c>
      <c r="C300" s="326" t="s">
        <v>3409</v>
      </c>
      <c r="D300" s="327" t="str">
        <f t="shared" si="8"/>
        <v>NACE C - 25.12 Manufacture of doors and windows of metal</v>
      </c>
      <c r="K300" t="s">
        <v>4948</v>
      </c>
    </row>
    <row r="301" spans="1:11" x14ac:dyDescent="0.3">
      <c r="A301" s="326" t="s">
        <v>1152</v>
      </c>
      <c r="B301" t="s">
        <v>1153</v>
      </c>
      <c r="C301" s="323" t="s">
        <v>3410</v>
      </c>
      <c r="D301" s="326" t="str">
        <f t="shared" si="8"/>
        <v>NACE C - 25.2 Manufacture of tanks, reservoirs and containers of metal</v>
      </c>
      <c r="K301" t="s">
        <v>4949</v>
      </c>
    </row>
    <row r="302" spans="1:11" x14ac:dyDescent="0.3">
      <c r="A302" s="327" t="s">
        <v>1154</v>
      </c>
      <c r="B302" t="s">
        <v>1155</v>
      </c>
      <c r="C302" s="326" t="s">
        <v>3411</v>
      </c>
      <c r="D302" s="327" t="str">
        <f t="shared" si="8"/>
        <v>NACE C - 25.21 Manufacture of central heating radiators, steam generators and boilers</v>
      </c>
      <c r="K302" t="s">
        <v>4950</v>
      </c>
    </row>
    <row r="303" spans="1:11" x14ac:dyDescent="0.3">
      <c r="A303" s="327" t="s">
        <v>1156</v>
      </c>
      <c r="B303" t="s">
        <v>1157</v>
      </c>
      <c r="C303" s="326" t="s">
        <v>3412</v>
      </c>
      <c r="D303" s="327" t="str">
        <f t="shared" si="8"/>
        <v>NACE C - 25.22 Manufacture of other tanks, reservoirs and containers of metal</v>
      </c>
      <c r="K303" t="s">
        <v>4951</v>
      </c>
    </row>
    <row r="304" spans="1:11" x14ac:dyDescent="0.3">
      <c r="A304" s="326" t="s">
        <v>1158</v>
      </c>
      <c r="B304" t="s">
        <v>1159</v>
      </c>
      <c r="C304" s="326" t="s">
        <v>3413</v>
      </c>
      <c r="D304" s="326" t="str">
        <f t="shared" si="8"/>
        <v>NACE C - 25.3 Manufacture of weapons and ammunition</v>
      </c>
      <c r="K304" t="s">
        <v>4952</v>
      </c>
    </row>
    <row r="305" spans="1:11" x14ac:dyDescent="0.3">
      <c r="A305" s="327" t="s">
        <v>1160</v>
      </c>
      <c r="B305" t="s">
        <v>1161</v>
      </c>
      <c r="C305" s="326" t="s">
        <v>3414</v>
      </c>
      <c r="D305" s="327" t="str">
        <f t="shared" si="8"/>
        <v>NACE C - 25.30 Manufacture of weapons and ammunition</v>
      </c>
      <c r="K305" t="s">
        <v>4953</v>
      </c>
    </row>
    <row r="306" spans="1:11" x14ac:dyDescent="0.3">
      <c r="A306" s="326" t="s">
        <v>1162</v>
      </c>
      <c r="B306" t="s">
        <v>1163</v>
      </c>
      <c r="C306" s="323" t="s">
        <v>3415</v>
      </c>
      <c r="D306" s="326" t="str">
        <f t="shared" si="8"/>
        <v>NACE C - 25.4 Forging and shaping metal and powder metallurgy</v>
      </c>
      <c r="K306" t="s">
        <v>4954</v>
      </c>
    </row>
    <row r="307" spans="1:11" x14ac:dyDescent="0.3">
      <c r="A307" s="327" t="s">
        <v>1164</v>
      </c>
      <c r="B307" t="s">
        <v>1165</v>
      </c>
      <c r="C307" s="326" t="s">
        <v>3416</v>
      </c>
      <c r="D307" s="327" t="str">
        <f t="shared" si="8"/>
        <v>NACE C - 25.40 Forging and shaping metal and powder metallurgy</v>
      </c>
      <c r="K307" t="s">
        <v>4955</v>
      </c>
    </row>
    <row r="308" spans="1:11" x14ac:dyDescent="0.3">
      <c r="A308" s="326" t="s">
        <v>1166</v>
      </c>
      <c r="B308" t="s">
        <v>1167</v>
      </c>
      <c r="C308" s="324" t="s">
        <v>3393</v>
      </c>
      <c r="D308" s="326" t="str">
        <f t="shared" si="8"/>
        <v>NACE C - 25.5 Treatment and coating of metals; machining</v>
      </c>
      <c r="K308" t="s">
        <v>4956</v>
      </c>
    </row>
    <row r="309" spans="1:11" x14ac:dyDescent="0.3">
      <c r="A309" s="327" t="s">
        <v>1168</v>
      </c>
      <c r="B309" t="s">
        <v>1169</v>
      </c>
      <c r="C309" s="323" t="s">
        <v>3418</v>
      </c>
      <c r="D309" s="327" t="str">
        <f t="shared" si="8"/>
        <v>NACE C - 25.51 Coating of metals</v>
      </c>
      <c r="K309" t="s">
        <v>4957</v>
      </c>
    </row>
    <row r="310" spans="1:11" x14ac:dyDescent="0.3">
      <c r="A310" s="327" t="s">
        <v>1170</v>
      </c>
      <c r="B310" t="s">
        <v>1171</v>
      </c>
      <c r="C310" s="326" t="s">
        <v>3419</v>
      </c>
      <c r="D310" s="327" t="str">
        <f t="shared" si="8"/>
        <v>NACE C - 25.52 Heat treatment of metals</v>
      </c>
      <c r="K310" t="s">
        <v>4958</v>
      </c>
    </row>
    <row r="311" spans="1:11" x14ac:dyDescent="0.3">
      <c r="A311" s="327" t="s">
        <v>1172</v>
      </c>
      <c r="B311" t="s">
        <v>1173</v>
      </c>
      <c r="C311" s="326" t="s">
        <v>3420</v>
      </c>
      <c r="D311" s="327" t="str">
        <f t="shared" si="8"/>
        <v>NACE C - 25.53 Machining of metals</v>
      </c>
      <c r="K311" t="s">
        <v>4959</v>
      </c>
    </row>
    <row r="312" spans="1:11" x14ac:dyDescent="0.3">
      <c r="A312" s="326" t="s">
        <v>1174</v>
      </c>
      <c r="B312" t="s">
        <v>1175</v>
      </c>
      <c r="C312" s="326" t="s">
        <v>3421</v>
      </c>
      <c r="D312" s="326" t="str">
        <f t="shared" si="8"/>
        <v>NACE C - 25.6 Manufacture of cutlery, tools and general hardware</v>
      </c>
      <c r="K312" t="s">
        <v>4960</v>
      </c>
    </row>
    <row r="313" spans="1:11" x14ac:dyDescent="0.3">
      <c r="A313" s="327" t="s">
        <v>1176</v>
      </c>
      <c r="B313" t="s">
        <v>1177</v>
      </c>
      <c r="C313" s="326" t="s">
        <v>3422</v>
      </c>
      <c r="D313" s="327" t="str">
        <f t="shared" si="8"/>
        <v>NACE C - 25.61 Manufacture of cutlery</v>
      </c>
      <c r="K313" t="s">
        <v>4961</v>
      </c>
    </row>
    <row r="314" spans="1:11" x14ac:dyDescent="0.3">
      <c r="A314" s="327" t="s">
        <v>1178</v>
      </c>
      <c r="B314" t="s">
        <v>1179</v>
      </c>
      <c r="C314" s="326" t="s">
        <v>3423</v>
      </c>
      <c r="D314" s="327" t="str">
        <f t="shared" si="8"/>
        <v>NACE C - 25.62 Manufacture of locks and hinges</v>
      </c>
      <c r="K314" t="s">
        <v>4962</v>
      </c>
    </row>
    <row r="315" spans="1:11" x14ac:dyDescent="0.3">
      <c r="A315" s="327" t="s">
        <v>1180</v>
      </c>
      <c r="B315" t="s">
        <v>1181</v>
      </c>
      <c r="C315" s="323" t="s">
        <v>3424</v>
      </c>
      <c r="D315" s="327" t="str">
        <f t="shared" si="8"/>
        <v>NACE C - 25.63 Manufacture of tools</v>
      </c>
      <c r="K315" t="s">
        <v>4963</v>
      </c>
    </row>
    <row r="316" spans="1:11" x14ac:dyDescent="0.3">
      <c r="A316" s="326" t="s">
        <v>1182</v>
      </c>
      <c r="B316" t="s">
        <v>1183</v>
      </c>
      <c r="C316" s="326" t="s">
        <v>3425</v>
      </c>
      <c r="D316" s="326" t="str">
        <f t="shared" si="8"/>
        <v>NACE C - 25.9 Manufacture of other fabricated metal products</v>
      </c>
      <c r="K316" t="s">
        <v>4964</v>
      </c>
    </row>
    <row r="317" spans="1:11" x14ac:dyDescent="0.3">
      <c r="A317" s="327" t="s">
        <v>1184</v>
      </c>
      <c r="B317" t="s">
        <v>1185</v>
      </c>
      <c r="C317" s="326" t="s">
        <v>3426</v>
      </c>
      <c r="D317" s="327" t="str">
        <f t="shared" si="8"/>
        <v>NACE C - 25.91 Manufacture of steel drums and similar containers</v>
      </c>
      <c r="K317" t="s">
        <v>4965</v>
      </c>
    </row>
    <row r="318" spans="1:11" x14ac:dyDescent="0.3">
      <c r="A318" s="327" t="s">
        <v>1186</v>
      </c>
      <c r="B318" t="s">
        <v>1187</v>
      </c>
      <c r="C318" s="323" t="s">
        <v>3427</v>
      </c>
      <c r="D318" s="327" t="str">
        <f t="shared" si="8"/>
        <v>NACE C - 25.92 Manufacture of light metal packaging</v>
      </c>
      <c r="K318" t="s">
        <v>4966</v>
      </c>
    </row>
    <row r="319" spans="1:11" x14ac:dyDescent="0.3">
      <c r="A319" s="327" t="s">
        <v>1188</v>
      </c>
      <c r="B319" t="s">
        <v>1189</v>
      </c>
      <c r="C319" s="326" t="s">
        <v>3428</v>
      </c>
      <c r="D319" s="327" t="str">
        <f t="shared" si="8"/>
        <v>NACE C - 25.93 Manufacture of wire products, chain and springs</v>
      </c>
      <c r="K319" t="s">
        <v>4967</v>
      </c>
    </row>
    <row r="320" spans="1:11" x14ac:dyDescent="0.3">
      <c r="A320" s="327" t="s">
        <v>1190</v>
      </c>
      <c r="B320" t="s">
        <v>1191</v>
      </c>
      <c r="C320" s="326" t="s">
        <v>3429</v>
      </c>
      <c r="D320" s="327" t="str">
        <f t="shared" si="8"/>
        <v>NACE C - 25.94 Manufacture of fasteners and screw machine products</v>
      </c>
      <c r="K320" t="s">
        <v>4968</v>
      </c>
    </row>
    <row r="321" spans="1:11" x14ac:dyDescent="0.3">
      <c r="A321" s="327" t="s">
        <v>1192</v>
      </c>
      <c r="B321" t="s">
        <v>1193</v>
      </c>
      <c r="C321" s="323" t="s">
        <v>3430</v>
      </c>
      <c r="D321" s="327" t="str">
        <f t="shared" si="8"/>
        <v>NACE C - 25.99 Manufacture of other fabricated metal products n.e.c.</v>
      </c>
      <c r="K321" t="s">
        <v>4969</v>
      </c>
    </row>
    <row r="322" spans="1:11" x14ac:dyDescent="0.3">
      <c r="A322" s="323" t="s">
        <v>1194</v>
      </c>
      <c r="B322" t="s">
        <v>1195</v>
      </c>
      <c r="C322" s="326" t="s">
        <v>3431</v>
      </c>
      <c r="D322" s="323" t="str">
        <f t="shared" ref="D322:D385" si="9">_xlfn.CONCAT("NACE ", A322)</f>
        <v>NACE C - 26 Manufacture of computer, electronic and optical products</v>
      </c>
      <c r="K322" t="s">
        <v>4970</v>
      </c>
    </row>
    <row r="323" spans="1:11" x14ac:dyDescent="0.3">
      <c r="A323" s="326" t="s">
        <v>1196</v>
      </c>
      <c r="B323" t="s">
        <v>1197</v>
      </c>
      <c r="C323" s="323" t="s">
        <v>3432</v>
      </c>
      <c r="D323" s="326" t="str">
        <f t="shared" si="9"/>
        <v>NACE C - 26.1 Manufacture of electronic components and boards</v>
      </c>
      <c r="K323" t="s">
        <v>4971</v>
      </c>
    </row>
    <row r="324" spans="1:11" x14ac:dyDescent="0.3">
      <c r="A324" s="327" t="s">
        <v>1198</v>
      </c>
      <c r="B324" t="s">
        <v>1199</v>
      </c>
      <c r="C324" s="326" t="s">
        <v>3433</v>
      </c>
      <c r="D324" s="327" t="str">
        <f t="shared" si="9"/>
        <v>NACE C - 26.11 Manufacture of electronic components</v>
      </c>
      <c r="K324" t="s">
        <v>4972</v>
      </c>
    </row>
    <row r="325" spans="1:11" x14ac:dyDescent="0.3">
      <c r="A325" s="327" t="s">
        <v>1200</v>
      </c>
      <c r="B325" t="s">
        <v>1201</v>
      </c>
      <c r="C325" s="326" t="s">
        <v>3434</v>
      </c>
      <c r="D325" s="327" t="str">
        <f t="shared" si="9"/>
        <v>NACE C - 26.12 Manufacture of loaded electronic boards</v>
      </c>
      <c r="K325" t="s">
        <v>4973</v>
      </c>
    </row>
    <row r="326" spans="1:11" x14ac:dyDescent="0.3">
      <c r="A326" s="326" t="s">
        <v>1202</v>
      </c>
      <c r="B326" t="s">
        <v>1203</v>
      </c>
      <c r="C326" s="326" t="s">
        <v>3435</v>
      </c>
      <c r="D326" s="326" t="str">
        <f t="shared" si="9"/>
        <v>NACE C - 26.2 Manufacture of computers and peripheral equipment</v>
      </c>
      <c r="K326" t="s">
        <v>4974</v>
      </c>
    </row>
    <row r="327" spans="1:11" x14ac:dyDescent="0.3">
      <c r="A327" s="327" t="s">
        <v>1204</v>
      </c>
      <c r="B327" t="s">
        <v>1205</v>
      </c>
      <c r="C327" s="323" t="s">
        <v>3436</v>
      </c>
      <c r="D327" s="327" t="str">
        <f t="shared" si="9"/>
        <v>NACE C - 26.20 Manufacture of computers and peripheral equipment</v>
      </c>
      <c r="K327" t="s">
        <v>4975</v>
      </c>
    </row>
    <row r="328" spans="1:11" x14ac:dyDescent="0.3">
      <c r="A328" s="326" t="s">
        <v>1206</v>
      </c>
      <c r="B328" t="s">
        <v>1207</v>
      </c>
      <c r="C328" s="326" t="s">
        <v>3437</v>
      </c>
      <c r="D328" s="326" t="str">
        <f t="shared" si="9"/>
        <v>NACE C - 26.3 Manufacture of communication equipment</v>
      </c>
      <c r="K328" t="s">
        <v>4976</v>
      </c>
    </row>
    <row r="329" spans="1:11" x14ac:dyDescent="0.3">
      <c r="A329" s="327" t="s">
        <v>1208</v>
      </c>
      <c r="B329" t="s">
        <v>1209</v>
      </c>
      <c r="C329" s="326" t="s">
        <v>3438</v>
      </c>
      <c r="D329" s="327" t="str">
        <f t="shared" si="9"/>
        <v>NACE C - 26.30 Manufacture of communication equipment</v>
      </c>
      <c r="K329" t="s">
        <v>4977</v>
      </c>
    </row>
    <row r="330" spans="1:11" x14ac:dyDescent="0.3">
      <c r="A330" s="326" t="s">
        <v>1210</v>
      </c>
      <c r="B330" t="s">
        <v>1211</v>
      </c>
      <c r="C330" s="326" t="s">
        <v>3439</v>
      </c>
      <c r="D330" s="326" t="str">
        <f t="shared" si="9"/>
        <v>NACE C - 26.4 Manufacture of consumer electronics</v>
      </c>
      <c r="K330" t="s">
        <v>4978</v>
      </c>
    </row>
    <row r="331" spans="1:11" x14ac:dyDescent="0.3">
      <c r="A331" s="327" t="s">
        <v>1212</v>
      </c>
      <c r="B331" t="s">
        <v>1213</v>
      </c>
      <c r="C331" s="326" t="s">
        <v>3440</v>
      </c>
      <c r="D331" s="327" t="str">
        <f t="shared" si="9"/>
        <v>NACE C - 26.40 Manufacture of consumer electronics</v>
      </c>
      <c r="K331" t="s">
        <v>4979</v>
      </c>
    </row>
    <row r="332" spans="1:11" x14ac:dyDescent="0.3">
      <c r="A332" s="326" t="s">
        <v>1214</v>
      </c>
      <c r="B332" t="s">
        <v>1215</v>
      </c>
      <c r="C332" s="326" t="s">
        <v>3441</v>
      </c>
      <c r="D332" s="326" t="str">
        <f t="shared" si="9"/>
        <v>NACE C - 26.5 Manufacture of measuring testing instruments, clocks and watches</v>
      </c>
      <c r="K332" t="s">
        <v>4980</v>
      </c>
    </row>
    <row r="333" spans="1:11" x14ac:dyDescent="0.3">
      <c r="A333" s="327" t="s">
        <v>1216</v>
      </c>
      <c r="B333" t="s">
        <v>1217</v>
      </c>
      <c r="C333" s="324" t="s">
        <v>3417</v>
      </c>
      <c r="D333" s="327" t="str">
        <f t="shared" si="9"/>
        <v>NACE C - 26.51 Manufacture of instruments and appliances for measuring, testing and navigation</v>
      </c>
      <c r="K333" t="s">
        <v>4981</v>
      </c>
    </row>
    <row r="334" spans="1:11" x14ac:dyDescent="0.3">
      <c r="A334" s="327" t="s">
        <v>1218</v>
      </c>
      <c r="B334" t="s">
        <v>1219</v>
      </c>
      <c r="C334" s="323" t="s">
        <v>3443</v>
      </c>
      <c r="D334" s="327" t="str">
        <f t="shared" si="9"/>
        <v>NACE C - 26.52 Manufacture of watches and clocks</v>
      </c>
      <c r="K334" t="s">
        <v>4982</v>
      </c>
    </row>
    <row r="335" spans="1:11" x14ac:dyDescent="0.3">
      <c r="A335" s="326" t="s">
        <v>1220</v>
      </c>
      <c r="B335" t="s">
        <v>1221</v>
      </c>
      <c r="C335" s="326" t="s">
        <v>3444</v>
      </c>
      <c r="D335" s="326" t="str">
        <f t="shared" si="9"/>
        <v>NACE C - 26.6 Manufacture of irradiation, electromedical and electrotherapeutic equipment</v>
      </c>
      <c r="K335" t="s">
        <v>4983</v>
      </c>
    </row>
    <row r="336" spans="1:11" x14ac:dyDescent="0.3">
      <c r="A336" s="327" t="s">
        <v>1222</v>
      </c>
      <c r="B336" t="s">
        <v>1223</v>
      </c>
      <c r="C336" s="326" t="s">
        <v>3445</v>
      </c>
      <c r="D336" s="327" t="str">
        <f t="shared" si="9"/>
        <v>NACE C - 26.60 Manufacture of irradiation, electromedical and electrotherapeutic equipment</v>
      </c>
      <c r="K336" t="s">
        <v>4984</v>
      </c>
    </row>
    <row r="337" spans="1:11" x14ac:dyDescent="0.3">
      <c r="A337" s="326" t="s">
        <v>1224</v>
      </c>
      <c r="B337" t="s">
        <v>1225</v>
      </c>
      <c r="C337" s="326" t="s">
        <v>3446</v>
      </c>
      <c r="D337" s="326" t="str">
        <f t="shared" si="9"/>
        <v>NACE C - 26.7 Manufacture of optical instruments, magnetic and optical media and photographic equipment</v>
      </c>
      <c r="K337" t="s">
        <v>4985</v>
      </c>
    </row>
    <row r="338" spans="1:11" x14ac:dyDescent="0.3">
      <c r="A338" s="327" t="s">
        <v>1226</v>
      </c>
      <c r="B338" t="s">
        <v>1227</v>
      </c>
      <c r="C338" s="324" t="s">
        <v>3442</v>
      </c>
      <c r="D338" s="327" t="str">
        <f t="shared" si="9"/>
        <v>NACE C - 26.70 Manufacture of optical instruments, magnetic and optical media and photographic equipment</v>
      </c>
      <c r="K338" t="s">
        <v>4986</v>
      </c>
    </row>
    <row r="339" spans="1:11" x14ac:dyDescent="0.3">
      <c r="A339" s="323" t="s">
        <v>1228</v>
      </c>
      <c r="B339" t="s">
        <v>1229</v>
      </c>
      <c r="C339" s="323" t="s">
        <v>3448</v>
      </c>
      <c r="D339" s="323" t="str">
        <f t="shared" si="9"/>
        <v>NACE C - 27 Manufacture of electrical equipment</v>
      </c>
      <c r="K339" t="s">
        <v>4987</v>
      </c>
    </row>
    <row r="340" spans="1:11" x14ac:dyDescent="0.3">
      <c r="A340" s="326" t="s">
        <v>1230</v>
      </c>
      <c r="B340" t="s">
        <v>1231</v>
      </c>
      <c r="C340" s="326" t="s">
        <v>3449</v>
      </c>
      <c r="D340" s="326" t="str">
        <f t="shared" si="9"/>
        <v>NACE C - 27.1 Manufacture of electric motors, generators, transformers and electricity distribution and control apparatus</v>
      </c>
      <c r="K340" t="s">
        <v>4988</v>
      </c>
    </row>
    <row r="341" spans="1:11" x14ac:dyDescent="0.3">
      <c r="A341" s="327" t="s">
        <v>1232</v>
      </c>
      <c r="B341" t="s">
        <v>1233</v>
      </c>
      <c r="C341" s="326" t="s">
        <v>3450</v>
      </c>
      <c r="D341" s="327" t="str">
        <f t="shared" si="9"/>
        <v>NACE C - 27.11 Manufacture of electric motors, generators and transformers</v>
      </c>
      <c r="K341" t="s">
        <v>4989</v>
      </c>
    </row>
    <row r="342" spans="1:11" x14ac:dyDescent="0.3">
      <c r="A342" s="327" t="s">
        <v>1234</v>
      </c>
      <c r="B342" t="s">
        <v>1235</v>
      </c>
      <c r="C342" s="326" t="s">
        <v>3451</v>
      </c>
      <c r="D342" s="327" t="str">
        <f t="shared" si="9"/>
        <v>NACE C - 27.12 Manufacture of electricity distribution and control apparatus</v>
      </c>
      <c r="K342" t="s">
        <v>4990</v>
      </c>
    </row>
    <row r="343" spans="1:11" x14ac:dyDescent="0.3">
      <c r="A343" s="326" t="s">
        <v>1236</v>
      </c>
      <c r="B343" t="s">
        <v>1237</v>
      </c>
      <c r="C343" s="326" t="s">
        <v>3452</v>
      </c>
      <c r="D343" s="326" t="str">
        <f t="shared" si="9"/>
        <v>NACE C - 27.2 Manufacture of batteries and accumulators</v>
      </c>
      <c r="K343" t="s">
        <v>4645</v>
      </c>
    </row>
    <row r="344" spans="1:11" x14ac:dyDescent="0.3">
      <c r="A344" s="327" t="s">
        <v>1238</v>
      </c>
      <c r="B344" t="s">
        <v>1239</v>
      </c>
      <c r="C344" s="326" t="s">
        <v>3453</v>
      </c>
      <c r="D344" s="327" t="str">
        <f t="shared" si="9"/>
        <v>NACE C - 27.20 Manufacture of batteries and accumulators</v>
      </c>
      <c r="K344" t="s">
        <v>4991</v>
      </c>
    </row>
    <row r="345" spans="1:11" x14ac:dyDescent="0.3">
      <c r="A345" s="326" t="s">
        <v>1240</v>
      </c>
      <c r="B345" t="s">
        <v>1241</v>
      </c>
      <c r="C345" s="326" t="s">
        <v>3454</v>
      </c>
      <c r="D345" s="326" t="str">
        <f t="shared" si="9"/>
        <v>NACE C - 27.3 Manufacture of wiring and wiring devices</v>
      </c>
      <c r="K345" t="s">
        <v>4992</v>
      </c>
    </row>
    <row r="346" spans="1:11" x14ac:dyDescent="0.3">
      <c r="A346" s="327" t="s">
        <v>1242</v>
      </c>
      <c r="B346" t="s">
        <v>1243</v>
      </c>
      <c r="C346" s="324" t="s">
        <v>3447</v>
      </c>
      <c r="D346" s="327" t="str">
        <f t="shared" si="9"/>
        <v>NACE C - 27.31 Manufacture of fibre optic cables</v>
      </c>
      <c r="K346" t="s">
        <v>4993</v>
      </c>
    </row>
    <row r="347" spans="1:11" x14ac:dyDescent="0.3">
      <c r="A347" s="327" t="s">
        <v>1244</v>
      </c>
      <c r="B347" t="s">
        <v>1245</v>
      </c>
      <c r="C347" s="323" t="s">
        <v>3456</v>
      </c>
      <c r="D347" s="327" t="str">
        <f t="shared" si="9"/>
        <v>NACE C - 27.32 Manufacture of other electronic and electric wires and cables</v>
      </c>
      <c r="K347" t="s">
        <v>4994</v>
      </c>
    </row>
    <row r="348" spans="1:11" x14ac:dyDescent="0.3">
      <c r="A348" s="327" t="s">
        <v>1246</v>
      </c>
      <c r="B348" t="s">
        <v>1247</v>
      </c>
      <c r="C348" s="326" t="s">
        <v>3457</v>
      </c>
      <c r="D348" s="327" t="str">
        <f t="shared" si="9"/>
        <v>NACE C - 27.33 Manufacture of wiring devices</v>
      </c>
      <c r="K348" t="s">
        <v>4995</v>
      </c>
    </row>
    <row r="349" spans="1:11" x14ac:dyDescent="0.3">
      <c r="A349" s="326" t="s">
        <v>1248</v>
      </c>
      <c r="B349" t="s">
        <v>1249</v>
      </c>
      <c r="C349" s="326" t="s">
        <v>3458</v>
      </c>
      <c r="D349" s="326" t="str">
        <f t="shared" si="9"/>
        <v>NACE C - 27.4 Manufacture of lighting equipment</v>
      </c>
      <c r="K349" t="s">
        <v>4996</v>
      </c>
    </row>
    <row r="350" spans="1:11" x14ac:dyDescent="0.3">
      <c r="A350" s="327" t="s">
        <v>1250</v>
      </c>
      <c r="B350" t="s">
        <v>1251</v>
      </c>
      <c r="C350" s="326" t="s">
        <v>3459</v>
      </c>
      <c r="D350" s="327" t="str">
        <f t="shared" si="9"/>
        <v>NACE C - 27.40 Manufacture of lighting equipment</v>
      </c>
      <c r="K350" t="s">
        <v>4997</v>
      </c>
    </row>
    <row r="351" spans="1:11" x14ac:dyDescent="0.3">
      <c r="A351" s="326" t="s">
        <v>1252</v>
      </c>
      <c r="B351" t="s">
        <v>1253</v>
      </c>
      <c r="C351" s="323" t="s">
        <v>3460</v>
      </c>
      <c r="D351" s="326" t="str">
        <f t="shared" si="9"/>
        <v>NACE C - 27.5 Manufacture of domestic appliances</v>
      </c>
      <c r="K351" t="s">
        <v>4998</v>
      </c>
    </row>
    <row r="352" spans="1:11" x14ac:dyDescent="0.3">
      <c r="A352" s="327" t="s">
        <v>1254</v>
      </c>
      <c r="B352" t="s">
        <v>1255</v>
      </c>
      <c r="C352" s="326" t="s">
        <v>3461</v>
      </c>
      <c r="D352" s="327" t="str">
        <f t="shared" si="9"/>
        <v>NACE C - 27.51 Manufacture of electric domestic appliances</v>
      </c>
      <c r="K352" t="s">
        <v>4999</v>
      </c>
    </row>
    <row r="353" spans="1:11" x14ac:dyDescent="0.3">
      <c r="A353" s="327" t="s">
        <v>1256</v>
      </c>
      <c r="B353" t="s">
        <v>1257</v>
      </c>
      <c r="C353" s="326" t="s">
        <v>3462</v>
      </c>
      <c r="D353" s="327" t="str">
        <f t="shared" si="9"/>
        <v>NACE C - 27.52 Manufacture of non-electric domestic appliances</v>
      </c>
      <c r="K353" t="s">
        <v>5000</v>
      </c>
    </row>
    <row r="354" spans="1:11" x14ac:dyDescent="0.3">
      <c r="A354" s="326" t="s">
        <v>1258</v>
      </c>
      <c r="B354" t="s">
        <v>1259</v>
      </c>
      <c r="C354" s="326" t="s">
        <v>3463</v>
      </c>
      <c r="D354" s="326" t="str">
        <f t="shared" si="9"/>
        <v>NACE C - 27.9 Manufacture of other electrical equipment</v>
      </c>
      <c r="K354" t="s">
        <v>5001</v>
      </c>
    </row>
    <row r="355" spans="1:11" x14ac:dyDescent="0.3">
      <c r="A355" s="327" t="s">
        <v>1260</v>
      </c>
      <c r="B355" t="s">
        <v>1261</v>
      </c>
      <c r="C355" s="326" t="s">
        <v>3464</v>
      </c>
      <c r="D355" s="327" t="str">
        <f t="shared" si="9"/>
        <v>NACE C - 27.90 Manufacture of other electrical equipment</v>
      </c>
      <c r="K355" t="s">
        <v>5002</v>
      </c>
    </row>
    <row r="356" spans="1:11" x14ac:dyDescent="0.3">
      <c r="A356" s="323" t="s">
        <v>1262</v>
      </c>
      <c r="B356" t="s">
        <v>1263</v>
      </c>
      <c r="C356" s="323" t="s">
        <v>3465</v>
      </c>
      <c r="D356" s="323" t="str">
        <f t="shared" si="9"/>
        <v>NACE C - 28 Manufacture of machinery and equipment n.e.c.</v>
      </c>
      <c r="K356" t="s">
        <v>5003</v>
      </c>
    </row>
    <row r="357" spans="1:11" x14ac:dyDescent="0.3">
      <c r="A357" s="326" t="s">
        <v>1264</v>
      </c>
      <c r="B357" t="s">
        <v>1265</v>
      </c>
      <c r="C357" s="326" t="s">
        <v>3466</v>
      </c>
      <c r="D357" s="326" t="str">
        <f t="shared" si="9"/>
        <v>NACE C - 28.1 Manufacture of general-purpose machinery</v>
      </c>
      <c r="K357" t="s">
        <v>5004</v>
      </c>
    </row>
    <row r="358" spans="1:11" x14ac:dyDescent="0.3">
      <c r="A358" s="327" t="s">
        <v>1266</v>
      </c>
      <c r="B358" t="s">
        <v>1267</v>
      </c>
      <c r="C358" s="326" t="s">
        <v>3467</v>
      </c>
      <c r="D358" s="327" t="str">
        <f t="shared" si="9"/>
        <v>NACE C - 28.11 Manufacture of engines and turbines, except aircraft, vehicle and cycle engines</v>
      </c>
      <c r="K358" t="s">
        <v>4646</v>
      </c>
    </row>
    <row r="359" spans="1:11" x14ac:dyDescent="0.3">
      <c r="A359" s="327" t="s">
        <v>1268</v>
      </c>
      <c r="B359" t="s">
        <v>1269</v>
      </c>
      <c r="C359" s="324" t="s">
        <v>3455</v>
      </c>
      <c r="D359" s="327" t="str">
        <f t="shared" si="9"/>
        <v>NACE C - 28.12 Manufacture of fluid power equipment</v>
      </c>
      <c r="K359" t="s">
        <v>5005</v>
      </c>
    </row>
    <row r="360" spans="1:11" x14ac:dyDescent="0.3">
      <c r="A360" s="327" t="s">
        <v>1270</v>
      </c>
      <c r="B360" t="s">
        <v>1271</v>
      </c>
      <c r="C360" s="323" t="s">
        <v>3469</v>
      </c>
      <c r="D360" s="327" t="str">
        <f t="shared" si="9"/>
        <v>NACE C - 28.13 Manufacture of other pumps and compressors</v>
      </c>
      <c r="K360" t="s">
        <v>5006</v>
      </c>
    </row>
    <row r="361" spans="1:11" x14ac:dyDescent="0.3">
      <c r="A361" s="327" t="s">
        <v>1272</v>
      </c>
      <c r="B361" t="s">
        <v>1273</v>
      </c>
      <c r="C361" s="326" t="s">
        <v>3470</v>
      </c>
      <c r="D361" s="327" t="str">
        <f t="shared" si="9"/>
        <v>NACE C - 28.14 Manufacture of other taps and valves</v>
      </c>
      <c r="K361" t="s">
        <v>5007</v>
      </c>
    </row>
    <row r="362" spans="1:11" x14ac:dyDescent="0.3">
      <c r="A362" s="327" t="s">
        <v>1274</v>
      </c>
      <c r="B362" t="s">
        <v>1275</v>
      </c>
      <c r="C362" s="326" t="s">
        <v>3471</v>
      </c>
      <c r="D362" s="327" t="str">
        <f t="shared" si="9"/>
        <v>NACE C - 28.15 Manufacture of bearings, gears, gearing and driving elements</v>
      </c>
      <c r="K362" t="s">
        <v>5008</v>
      </c>
    </row>
    <row r="363" spans="1:11" x14ac:dyDescent="0.3">
      <c r="A363" s="326" t="s">
        <v>1276</v>
      </c>
      <c r="B363" t="s">
        <v>1277</v>
      </c>
      <c r="C363" s="326" t="s">
        <v>3472</v>
      </c>
      <c r="D363" s="326" t="str">
        <f t="shared" si="9"/>
        <v>NACE C - 28.2 Manufacture of other general-purpose machinery</v>
      </c>
      <c r="K363" t="s">
        <v>5009</v>
      </c>
    </row>
    <row r="364" spans="1:11" x14ac:dyDescent="0.3">
      <c r="A364" s="327" t="s">
        <v>1278</v>
      </c>
      <c r="B364" t="s">
        <v>1279</v>
      </c>
      <c r="C364" s="323" t="s">
        <v>3473</v>
      </c>
      <c r="D364" s="327" t="str">
        <f t="shared" si="9"/>
        <v>NACE C - 28.21 Manufacture of ovens, furnaces and permanent household heating equipment</v>
      </c>
      <c r="K364" t="s">
        <v>5010</v>
      </c>
    </row>
    <row r="365" spans="1:11" x14ac:dyDescent="0.3">
      <c r="A365" s="327" t="s">
        <v>1280</v>
      </c>
      <c r="B365" t="s">
        <v>1281</v>
      </c>
      <c r="C365" s="326" t="s">
        <v>3474</v>
      </c>
      <c r="D365" s="327" t="str">
        <f t="shared" si="9"/>
        <v>NACE C - 28.22 Manufacture of lifting and handling equipment</v>
      </c>
      <c r="K365" t="s">
        <v>5011</v>
      </c>
    </row>
    <row r="366" spans="1:11" x14ac:dyDescent="0.3">
      <c r="A366" s="327" t="s">
        <v>1282</v>
      </c>
      <c r="B366" t="s">
        <v>1283</v>
      </c>
      <c r="C366" s="326" t="s">
        <v>3475</v>
      </c>
      <c r="D366" s="327" t="str">
        <f t="shared" si="9"/>
        <v>NACE C - 28.23 Manufacture of office machinery and equipment, except computers and peripheral equipment</v>
      </c>
      <c r="K366" t="s">
        <v>5012</v>
      </c>
    </row>
    <row r="367" spans="1:11" x14ac:dyDescent="0.3">
      <c r="A367" s="327" t="s">
        <v>1284</v>
      </c>
      <c r="B367" t="s">
        <v>1285</v>
      </c>
      <c r="C367" s="326" t="s">
        <v>3476</v>
      </c>
      <c r="D367" s="327" t="str">
        <f t="shared" si="9"/>
        <v>NACE C - 28.24 Manufacture of power-driven hand tools</v>
      </c>
      <c r="K367" t="s">
        <v>5013</v>
      </c>
    </row>
    <row r="368" spans="1:11" x14ac:dyDescent="0.3">
      <c r="A368" s="327" t="s">
        <v>1286</v>
      </c>
      <c r="B368" t="s">
        <v>1287</v>
      </c>
      <c r="C368" s="326" t="s">
        <v>3477</v>
      </c>
      <c r="D368" s="327" t="str">
        <f t="shared" si="9"/>
        <v>NACE C - 28.25 Manufacture of non-domestic air conditioning equipment</v>
      </c>
      <c r="K368" t="s">
        <v>5014</v>
      </c>
    </row>
    <row r="369" spans="1:11" x14ac:dyDescent="0.3">
      <c r="A369" s="327" t="s">
        <v>1288</v>
      </c>
      <c r="B369" t="s">
        <v>1289</v>
      </c>
      <c r="C369" s="323" t="s">
        <v>3478</v>
      </c>
      <c r="D369" s="327" t="str">
        <f t="shared" si="9"/>
        <v>NACE C - 28.29 Manufacture of other general-purpose machinery n.e.c.</v>
      </c>
      <c r="K369" t="s">
        <v>5015</v>
      </c>
    </row>
    <row r="370" spans="1:11" x14ac:dyDescent="0.3">
      <c r="A370" s="326" t="s">
        <v>1290</v>
      </c>
      <c r="B370" t="s">
        <v>1291</v>
      </c>
      <c r="C370" s="326" t="s">
        <v>3479</v>
      </c>
      <c r="D370" s="326" t="str">
        <f t="shared" si="9"/>
        <v>NACE C - 28.3 Manufacture of agricultural and forestry machinery</v>
      </c>
      <c r="K370" t="s">
        <v>5016</v>
      </c>
    </row>
    <row r="371" spans="1:11" x14ac:dyDescent="0.3">
      <c r="A371" s="327" t="s">
        <v>1292</v>
      </c>
      <c r="B371" t="s">
        <v>1293</v>
      </c>
      <c r="C371" s="323" t="s">
        <v>3480</v>
      </c>
      <c r="D371" s="327" t="str">
        <f t="shared" si="9"/>
        <v>NACE C - 28.30 Manufacture of agricultural and forestry machinery</v>
      </c>
      <c r="K371" t="s">
        <v>5017</v>
      </c>
    </row>
    <row r="372" spans="1:11" x14ac:dyDescent="0.3">
      <c r="A372" s="326" t="s">
        <v>1294</v>
      </c>
      <c r="B372" t="s">
        <v>1295</v>
      </c>
      <c r="C372" s="326" t="s">
        <v>3481</v>
      </c>
      <c r="D372" s="326" t="str">
        <f t="shared" si="9"/>
        <v>NACE C - 28.4 Manufacture of metal forming machinery and machine tools</v>
      </c>
      <c r="K372" t="s">
        <v>5018</v>
      </c>
    </row>
    <row r="373" spans="1:11" x14ac:dyDescent="0.3">
      <c r="A373" s="327" t="s">
        <v>1296</v>
      </c>
      <c r="B373" t="s">
        <v>1297</v>
      </c>
      <c r="C373" s="326" t="s">
        <v>3482</v>
      </c>
      <c r="D373" s="327" t="str">
        <f t="shared" si="9"/>
        <v>NACE C - 28.41 Manufacture of metal forming machinery and machine tools for metal work</v>
      </c>
      <c r="K373" t="s">
        <v>5019</v>
      </c>
    </row>
    <row r="374" spans="1:11" x14ac:dyDescent="0.3">
      <c r="A374" s="327" t="s">
        <v>1298</v>
      </c>
      <c r="B374" t="s">
        <v>1299</v>
      </c>
      <c r="C374" s="324" t="s">
        <v>3468</v>
      </c>
      <c r="D374" s="327" t="str">
        <f t="shared" si="9"/>
        <v>NACE C - 28.42 Manufacture of other machine tools</v>
      </c>
      <c r="K374" t="s">
        <v>5020</v>
      </c>
    </row>
    <row r="375" spans="1:11" x14ac:dyDescent="0.3">
      <c r="A375" s="326" t="s">
        <v>1300</v>
      </c>
      <c r="B375" t="s">
        <v>1301</v>
      </c>
      <c r="C375" s="323" t="s">
        <v>3484</v>
      </c>
      <c r="D375" s="326" t="str">
        <f t="shared" si="9"/>
        <v>NACE C - 28.9 Manufacture of other special-purpose machinery</v>
      </c>
      <c r="K375" t="s">
        <v>5021</v>
      </c>
    </row>
    <row r="376" spans="1:11" x14ac:dyDescent="0.3">
      <c r="A376" s="327" t="s">
        <v>1302</v>
      </c>
      <c r="B376" t="s">
        <v>1303</v>
      </c>
      <c r="C376" s="326" t="s">
        <v>3485</v>
      </c>
      <c r="D376" s="327" t="str">
        <f t="shared" si="9"/>
        <v>NACE C - 28.91 Manufacture of machinery for metallurgy</v>
      </c>
      <c r="K376" t="s">
        <v>5022</v>
      </c>
    </row>
    <row r="377" spans="1:11" x14ac:dyDescent="0.3">
      <c r="A377" s="327" t="s">
        <v>1304</v>
      </c>
      <c r="B377" t="s">
        <v>1305</v>
      </c>
      <c r="C377" s="326" t="s">
        <v>3486</v>
      </c>
      <c r="D377" s="327" t="str">
        <f t="shared" si="9"/>
        <v>NACE C - 28.92 Manufacture of machinery for mining, quarrying and construction</v>
      </c>
      <c r="K377" t="s">
        <v>5023</v>
      </c>
    </row>
    <row r="378" spans="1:11" x14ac:dyDescent="0.3">
      <c r="A378" s="327" t="s">
        <v>1306</v>
      </c>
      <c r="B378" t="s">
        <v>1307</v>
      </c>
      <c r="C378" s="326" t="s">
        <v>3487</v>
      </c>
      <c r="D378" s="327" t="str">
        <f t="shared" si="9"/>
        <v>NACE C - 28.93 Manufacture of machinery for food, beverage and tobacco processing</v>
      </c>
      <c r="K378" t="s">
        <v>5024</v>
      </c>
    </row>
    <row r="379" spans="1:11" x14ac:dyDescent="0.3">
      <c r="A379" s="327" t="s">
        <v>1308</v>
      </c>
      <c r="B379" t="s">
        <v>1309</v>
      </c>
      <c r="C379" s="323" t="s">
        <v>3488</v>
      </c>
      <c r="D379" s="327" t="str">
        <f t="shared" si="9"/>
        <v>NACE C - 28.94 Manufacture of machinery for textile, apparel and leather production</v>
      </c>
      <c r="K379" t="s">
        <v>5025</v>
      </c>
    </row>
    <row r="380" spans="1:11" x14ac:dyDescent="0.3">
      <c r="A380" s="327" t="s">
        <v>1310</v>
      </c>
      <c r="B380" t="s">
        <v>1311</v>
      </c>
      <c r="C380" s="326" t="s">
        <v>3489</v>
      </c>
      <c r="D380" s="327" t="str">
        <f t="shared" si="9"/>
        <v>NACE C - 28.95 Manufacture of machinery for paper and paperboard production</v>
      </c>
      <c r="K380" t="s">
        <v>5026</v>
      </c>
    </row>
    <row r="381" spans="1:11" x14ac:dyDescent="0.3">
      <c r="A381" s="327" t="s">
        <v>1312</v>
      </c>
      <c r="B381" t="s">
        <v>1313</v>
      </c>
      <c r="C381" s="326" t="s">
        <v>3490</v>
      </c>
      <c r="D381" s="327" t="str">
        <f t="shared" si="9"/>
        <v>NACE C - 28.96 Manufacture of plastics and rubber machinery</v>
      </c>
      <c r="K381" t="s">
        <v>5027</v>
      </c>
    </row>
    <row r="382" spans="1:11" x14ac:dyDescent="0.3">
      <c r="A382" s="327" t="s">
        <v>1314</v>
      </c>
      <c r="B382" t="s">
        <v>1315</v>
      </c>
      <c r="C382" s="326" t="s">
        <v>3491</v>
      </c>
      <c r="D382" s="327" t="str">
        <f t="shared" si="9"/>
        <v>NACE C - 28.97 Manufacture of additive manufacturing machinery</v>
      </c>
      <c r="K382" t="s">
        <v>5028</v>
      </c>
    </row>
    <row r="383" spans="1:11" x14ac:dyDescent="0.3">
      <c r="A383" s="327" t="s">
        <v>1316</v>
      </c>
      <c r="B383" t="s">
        <v>1317</v>
      </c>
      <c r="C383" s="326" t="s">
        <v>3492</v>
      </c>
      <c r="D383" s="327" t="str">
        <f t="shared" si="9"/>
        <v>NACE C - 28.99 Manufacture of other special-purpose machinery n.e.c.</v>
      </c>
      <c r="K383" t="s">
        <v>5029</v>
      </c>
    </row>
    <row r="384" spans="1:11" x14ac:dyDescent="0.3">
      <c r="A384" s="323" t="s">
        <v>1318</v>
      </c>
      <c r="B384" t="s">
        <v>1319</v>
      </c>
      <c r="C384" s="323" t="s">
        <v>3493</v>
      </c>
      <c r="D384" s="323" t="str">
        <f t="shared" si="9"/>
        <v>NACE C - 29 Manufacture of motor vehicles, trailers and semi-trailers</v>
      </c>
      <c r="K384" t="s">
        <v>5030</v>
      </c>
    </row>
    <row r="385" spans="1:11" x14ac:dyDescent="0.3">
      <c r="A385" s="326" t="s">
        <v>1320</v>
      </c>
      <c r="B385" t="s">
        <v>1321</v>
      </c>
      <c r="C385" s="326" t="s">
        <v>3494</v>
      </c>
      <c r="D385" s="326" t="str">
        <f t="shared" si="9"/>
        <v>NACE C - 29.1 Manufacture of motor vehicles</v>
      </c>
      <c r="K385" t="s">
        <v>5031</v>
      </c>
    </row>
    <row r="386" spans="1:11" x14ac:dyDescent="0.3">
      <c r="A386" s="327" t="s">
        <v>1322</v>
      </c>
      <c r="B386" t="s">
        <v>1323</v>
      </c>
      <c r="C386" s="326" t="s">
        <v>3495</v>
      </c>
      <c r="D386" s="327" t="str">
        <f t="shared" ref="D386:D449" si="10">_xlfn.CONCAT("NACE ", A386)</f>
        <v>NACE C - 29.10 Manufacture of motor vehicles</v>
      </c>
      <c r="K386" t="s">
        <v>5032</v>
      </c>
    </row>
    <row r="387" spans="1:11" x14ac:dyDescent="0.3">
      <c r="A387" s="326" t="s">
        <v>1324</v>
      </c>
      <c r="B387" t="s">
        <v>1325</v>
      </c>
      <c r="C387" s="326" t="s">
        <v>3496</v>
      </c>
      <c r="D387" s="326" t="str">
        <f t="shared" si="10"/>
        <v>NACE C - 29.2 Manufacture of bodies and coachwork for motor vehicles; manufacture of trailers and semi-trailers</v>
      </c>
      <c r="K387" t="s">
        <v>5033</v>
      </c>
    </row>
    <row r="388" spans="1:11" x14ac:dyDescent="0.3">
      <c r="A388" s="327" t="s">
        <v>1326</v>
      </c>
      <c r="B388" t="s">
        <v>1327</v>
      </c>
      <c r="C388" s="326" t="s">
        <v>3497</v>
      </c>
      <c r="D388" s="327" t="str">
        <f t="shared" si="10"/>
        <v>NACE C - 29.20 Manufacture of bodies and coachwork for motor vehicles; manufacture of trailers and semi-trailers</v>
      </c>
      <c r="K388" t="s">
        <v>5034</v>
      </c>
    </row>
    <row r="389" spans="1:11" x14ac:dyDescent="0.3">
      <c r="A389" s="326" t="s">
        <v>1328</v>
      </c>
      <c r="B389" t="s">
        <v>1329</v>
      </c>
      <c r="C389" s="326" t="s">
        <v>3498</v>
      </c>
      <c r="D389" s="326" t="str">
        <f t="shared" si="10"/>
        <v>NACE C - 29.3 Manufacture of motor vehicle parts and accessories</v>
      </c>
      <c r="K389" t="s">
        <v>5035</v>
      </c>
    </row>
    <row r="390" spans="1:11" x14ac:dyDescent="0.3">
      <c r="A390" s="327" t="s">
        <v>1330</v>
      </c>
      <c r="B390" t="s">
        <v>1331</v>
      </c>
      <c r="C390" s="324" t="s">
        <v>3483</v>
      </c>
      <c r="D390" s="327" t="str">
        <f t="shared" si="10"/>
        <v>NACE C - 29.31 Manufacture of electrical and electronic equipment for motor vehicles</v>
      </c>
      <c r="K390" t="s">
        <v>5036</v>
      </c>
    </row>
    <row r="391" spans="1:11" x14ac:dyDescent="0.3">
      <c r="A391" s="327" t="s">
        <v>1332</v>
      </c>
      <c r="B391" t="s">
        <v>1333</v>
      </c>
      <c r="C391" s="323" t="s">
        <v>3500</v>
      </c>
      <c r="D391" s="327" t="str">
        <f t="shared" si="10"/>
        <v>NACE C - 29.32 Manufacture of other parts and accessories for motor vehicles</v>
      </c>
      <c r="K391" t="s">
        <v>5037</v>
      </c>
    </row>
    <row r="392" spans="1:11" x14ac:dyDescent="0.3">
      <c r="A392" s="323" t="s">
        <v>1334</v>
      </c>
      <c r="B392" t="s">
        <v>1335</v>
      </c>
      <c r="C392" s="326" t="s">
        <v>3501</v>
      </c>
      <c r="D392" s="323" t="str">
        <f t="shared" si="10"/>
        <v>NACE C - 30 Manufacture of other transport equipment</v>
      </c>
      <c r="K392" t="s">
        <v>5038</v>
      </c>
    </row>
    <row r="393" spans="1:11" x14ac:dyDescent="0.3">
      <c r="A393" s="326" t="s">
        <v>1336</v>
      </c>
      <c r="B393" t="s">
        <v>1337</v>
      </c>
      <c r="C393" s="323" t="s">
        <v>3502</v>
      </c>
      <c r="D393" s="326" t="str">
        <f t="shared" si="10"/>
        <v>NACE C - 30.1 Building of ships and boats</v>
      </c>
      <c r="K393" t="s">
        <v>5039</v>
      </c>
    </row>
    <row r="394" spans="1:11" x14ac:dyDescent="0.3">
      <c r="A394" s="327" t="s">
        <v>1338</v>
      </c>
      <c r="B394" t="s">
        <v>1339</v>
      </c>
      <c r="C394" s="326" t="s">
        <v>3503</v>
      </c>
      <c r="D394" s="327" t="str">
        <f t="shared" si="10"/>
        <v>NACE C - 30.11 Building of civilian ships and floating structures</v>
      </c>
      <c r="K394" t="s">
        <v>5040</v>
      </c>
    </row>
    <row r="395" spans="1:11" x14ac:dyDescent="0.3">
      <c r="A395" s="327" t="s">
        <v>1340</v>
      </c>
      <c r="B395" t="s">
        <v>1341</v>
      </c>
      <c r="C395" s="326" t="s">
        <v>3504</v>
      </c>
      <c r="D395" s="327" t="str">
        <f t="shared" si="10"/>
        <v>NACE C - 30.12 Building of pleasure and sporting boats</v>
      </c>
      <c r="K395" t="s">
        <v>5041</v>
      </c>
    </row>
    <row r="396" spans="1:11" x14ac:dyDescent="0.3">
      <c r="A396" s="327" t="s">
        <v>1342</v>
      </c>
      <c r="B396" t="s">
        <v>1343</v>
      </c>
      <c r="C396" s="324" t="s">
        <v>3499</v>
      </c>
      <c r="D396" s="327" t="str">
        <f t="shared" si="10"/>
        <v>NACE C - 30.13 Building of military ships and vessels</v>
      </c>
      <c r="K396" t="s">
        <v>5042</v>
      </c>
    </row>
    <row r="397" spans="1:11" x14ac:dyDescent="0.3">
      <c r="A397" s="326" t="s">
        <v>1344</v>
      </c>
      <c r="B397" t="s">
        <v>1345</v>
      </c>
      <c r="C397" s="323" t="s">
        <v>3506</v>
      </c>
      <c r="D397" s="326" t="str">
        <f t="shared" si="10"/>
        <v>NACE C - 30.2 Manufacture of railway locomotives and rolling stock</v>
      </c>
      <c r="K397" t="s">
        <v>5043</v>
      </c>
    </row>
    <row r="398" spans="1:11" x14ac:dyDescent="0.3">
      <c r="A398" s="327" t="s">
        <v>1346</v>
      </c>
      <c r="B398" t="s">
        <v>1347</v>
      </c>
      <c r="C398" s="326" t="s">
        <v>3507</v>
      </c>
      <c r="D398" s="327" t="str">
        <f t="shared" si="10"/>
        <v>NACE C - 30.20 Manufacture of railway locomotives and rolling stock</v>
      </c>
      <c r="K398" t="s">
        <v>5044</v>
      </c>
    </row>
    <row r="399" spans="1:11" x14ac:dyDescent="0.3">
      <c r="A399" s="326" t="s">
        <v>1348</v>
      </c>
      <c r="B399" t="s">
        <v>1349</v>
      </c>
      <c r="C399" s="324" t="s">
        <v>3505</v>
      </c>
      <c r="D399" s="326" t="str">
        <f t="shared" si="10"/>
        <v>NACE C - 30.3 Manufacture of air and spacecraft and related machinery</v>
      </c>
      <c r="K399" t="s">
        <v>5045</v>
      </c>
    </row>
    <row r="400" spans="1:11" x14ac:dyDescent="0.3">
      <c r="A400" s="327" t="s">
        <v>1350</v>
      </c>
      <c r="B400" t="s">
        <v>1351</v>
      </c>
      <c r="D400" s="327" t="str">
        <f t="shared" si="10"/>
        <v>NACE C - 30.31 Manufacture of civilian air and spacecraft and related machinery</v>
      </c>
      <c r="K400" t="s">
        <v>5046</v>
      </c>
    </row>
    <row r="401" spans="1:11" x14ac:dyDescent="0.3">
      <c r="A401" s="327" t="s">
        <v>1352</v>
      </c>
      <c r="B401" t="s">
        <v>1353</v>
      </c>
      <c r="C401" s="327"/>
      <c r="D401" s="327" t="str">
        <f t="shared" si="10"/>
        <v>NACE C - 30.32 Manufacture of military air and spacecraft and related machinery</v>
      </c>
      <c r="K401" t="s">
        <v>5047</v>
      </c>
    </row>
    <row r="402" spans="1:11" x14ac:dyDescent="0.3">
      <c r="A402" s="326" t="s">
        <v>1354</v>
      </c>
      <c r="B402" t="s">
        <v>1355</v>
      </c>
      <c r="C402" s="327"/>
      <c r="D402" s="326" t="str">
        <f t="shared" si="10"/>
        <v>NACE C - 30.4 Manufacture of military fighting vehicles</v>
      </c>
      <c r="K402" t="s">
        <v>5048</v>
      </c>
    </row>
    <row r="403" spans="1:11" x14ac:dyDescent="0.3">
      <c r="A403" s="327" t="s">
        <v>1356</v>
      </c>
      <c r="B403" t="s">
        <v>1357</v>
      </c>
      <c r="C403" s="327"/>
      <c r="D403" s="327" t="str">
        <f t="shared" si="10"/>
        <v>NACE C - 30.40 Manufacture of military fighting vehicles</v>
      </c>
      <c r="K403" t="s">
        <v>5049</v>
      </c>
    </row>
    <row r="404" spans="1:11" x14ac:dyDescent="0.3">
      <c r="A404" s="326" t="s">
        <v>1358</v>
      </c>
      <c r="B404" t="s">
        <v>1359</v>
      </c>
      <c r="C404" s="327"/>
      <c r="D404" s="326" t="str">
        <f t="shared" si="10"/>
        <v>NACE C - 30.9 Manufacture of transport equipment n.e.c.</v>
      </c>
      <c r="K404" t="s">
        <v>5050</v>
      </c>
    </row>
    <row r="405" spans="1:11" x14ac:dyDescent="0.3">
      <c r="A405" s="327" t="s">
        <v>1360</v>
      </c>
      <c r="B405" t="s">
        <v>1361</v>
      </c>
      <c r="C405" s="327"/>
      <c r="D405" s="327" t="str">
        <f t="shared" si="10"/>
        <v>NACE C - 30.91 Manufacture of motorcycles</v>
      </c>
      <c r="K405" t="s">
        <v>5051</v>
      </c>
    </row>
    <row r="406" spans="1:11" x14ac:dyDescent="0.3">
      <c r="A406" s="327" t="s">
        <v>1362</v>
      </c>
      <c r="B406" t="s">
        <v>1363</v>
      </c>
      <c r="C406" s="327"/>
      <c r="D406" s="327" t="str">
        <f t="shared" si="10"/>
        <v>NACE C - 30.92 Manufacture of bicycles and invalid carriages</v>
      </c>
      <c r="K406" t="s">
        <v>5052</v>
      </c>
    </row>
    <row r="407" spans="1:11" x14ac:dyDescent="0.3">
      <c r="A407" s="327" t="s">
        <v>1364</v>
      </c>
      <c r="B407" t="s">
        <v>1365</v>
      </c>
      <c r="C407" s="327"/>
      <c r="D407" s="327" t="str">
        <f t="shared" si="10"/>
        <v>NACE C - 30.99 Manufacture of other transport equipment n.e.c.</v>
      </c>
      <c r="K407" t="s">
        <v>5053</v>
      </c>
    </row>
    <row r="408" spans="1:11" x14ac:dyDescent="0.3">
      <c r="A408" s="323" t="s">
        <v>1366</v>
      </c>
      <c r="B408" t="s">
        <v>1367</v>
      </c>
      <c r="C408" s="327"/>
      <c r="D408" s="323" t="str">
        <f t="shared" si="10"/>
        <v>NACE C - 31 Manufacture of furniture</v>
      </c>
      <c r="K408" t="s">
        <v>5054</v>
      </c>
    </row>
    <row r="409" spans="1:11" x14ac:dyDescent="0.3">
      <c r="A409" s="326" t="s">
        <v>1368</v>
      </c>
      <c r="B409" t="s">
        <v>1369</v>
      </c>
      <c r="C409" s="327"/>
      <c r="D409" s="326" t="str">
        <f t="shared" si="10"/>
        <v>NACE C - 31.0 Manufacture of furniture</v>
      </c>
      <c r="K409" t="s">
        <v>5055</v>
      </c>
    </row>
    <row r="410" spans="1:11" x14ac:dyDescent="0.3">
      <c r="A410" s="327" t="s">
        <v>1370</v>
      </c>
      <c r="B410" t="s">
        <v>1371</v>
      </c>
      <c r="C410" s="327"/>
      <c r="D410" s="327" t="str">
        <f t="shared" si="10"/>
        <v>NACE C - 31.00 Manufacture of furniture</v>
      </c>
      <c r="K410" t="s">
        <v>5056</v>
      </c>
    </row>
    <row r="411" spans="1:11" x14ac:dyDescent="0.3">
      <c r="A411" s="323" t="s">
        <v>1372</v>
      </c>
      <c r="B411" t="s">
        <v>1373</v>
      </c>
      <c r="C411" s="327"/>
      <c r="D411" s="323" t="str">
        <f t="shared" si="10"/>
        <v>NACE C - 32 Other manufacturing</v>
      </c>
      <c r="K411" t="s">
        <v>5057</v>
      </c>
    </row>
    <row r="412" spans="1:11" x14ac:dyDescent="0.3">
      <c r="A412" s="326" t="s">
        <v>1374</v>
      </c>
      <c r="B412" t="s">
        <v>1375</v>
      </c>
      <c r="C412" s="327"/>
      <c r="D412" s="326" t="str">
        <f t="shared" si="10"/>
        <v>NACE C - 32.1 Manufacture of jewellery, bijouterie and related articles</v>
      </c>
      <c r="K412" t="s">
        <v>5058</v>
      </c>
    </row>
    <row r="413" spans="1:11" x14ac:dyDescent="0.3">
      <c r="A413" s="327" t="s">
        <v>1376</v>
      </c>
      <c r="B413" t="s">
        <v>1377</v>
      </c>
      <c r="C413" s="327"/>
      <c r="D413" s="327" t="str">
        <f t="shared" si="10"/>
        <v>NACE C - 32.11 Striking of coins</v>
      </c>
      <c r="K413" t="s">
        <v>5059</v>
      </c>
    </row>
    <row r="414" spans="1:11" x14ac:dyDescent="0.3">
      <c r="A414" s="327" t="s">
        <v>1378</v>
      </c>
      <c r="B414" t="s">
        <v>1379</v>
      </c>
      <c r="C414" s="327"/>
      <c r="D414" s="327" t="str">
        <f t="shared" si="10"/>
        <v>NACE C - 32.12 Manufacture of jewellery and related articles</v>
      </c>
      <c r="K414" t="s">
        <v>5060</v>
      </c>
    </row>
    <row r="415" spans="1:11" x14ac:dyDescent="0.3">
      <c r="A415" s="327" t="s">
        <v>1380</v>
      </c>
      <c r="B415" t="s">
        <v>1381</v>
      </c>
      <c r="C415" s="327"/>
      <c r="D415" s="327" t="str">
        <f t="shared" si="10"/>
        <v>NACE C - 32.13 Manufacture of imitation jewellery and related articles</v>
      </c>
      <c r="K415" t="s">
        <v>5061</v>
      </c>
    </row>
    <row r="416" spans="1:11" x14ac:dyDescent="0.3">
      <c r="A416" s="326" t="s">
        <v>1382</v>
      </c>
      <c r="B416" t="s">
        <v>1383</v>
      </c>
      <c r="C416" s="327"/>
      <c r="D416" s="326" t="str">
        <f t="shared" si="10"/>
        <v>NACE C - 32.2 Manufacture of musical instruments</v>
      </c>
      <c r="K416" t="s">
        <v>5062</v>
      </c>
    </row>
    <row r="417" spans="1:11" x14ac:dyDescent="0.3">
      <c r="A417" s="327" t="s">
        <v>1384</v>
      </c>
      <c r="B417" t="s">
        <v>1385</v>
      </c>
      <c r="C417" s="327"/>
      <c r="D417" s="327" t="str">
        <f t="shared" si="10"/>
        <v>NACE C - 32.20 Manufacture of musical instruments</v>
      </c>
      <c r="K417" t="s">
        <v>5063</v>
      </c>
    </row>
    <row r="418" spans="1:11" x14ac:dyDescent="0.3">
      <c r="A418" s="326" t="s">
        <v>1386</v>
      </c>
      <c r="B418" t="s">
        <v>1387</v>
      </c>
      <c r="C418" s="327"/>
      <c r="D418" s="326" t="str">
        <f t="shared" si="10"/>
        <v>NACE C - 32.3 Manufacture of sports goods</v>
      </c>
      <c r="K418" t="s">
        <v>5064</v>
      </c>
    </row>
    <row r="419" spans="1:11" x14ac:dyDescent="0.3">
      <c r="A419" s="327" t="s">
        <v>1388</v>
      </c>
      <c r="B419" t="s">
        <v>1389</v>
      </c>
      <c r="C419" s="327"/>
      <c r="D419" s="327" t="str">
        <f t="shared" si="10"/>
        <v>NACE C - 32.30 Manufacture of sports goods</v>
      </c>
      <c r="K419" t="s">
        <v>5065</v>
      </c>
    </row>
    <row r="420" spans="1:11" x14ac:dyDescent="0.3">
      <c r="A420" s="326" t="s">
        <v>1390</v>
      </c>
      <c r="B420" t="s">
        <v>1391</v>
      </c>
      <c r="C420" s="327"/>
      <c r="D420" s="326" t="str">
        <f t="shared" si="10"/>
        <v>NACE C - 32.4 Manufacture of games and toys</v>
      </c>
      <c r="K420" t="s">
        <v>5066</v>
      </c>
    </row>
    <row r="421" spans="1:11" x14ac:dyDescent="0.3">
      <c r="A421" s="327" t="s">
        <v>1392</v>
      </c>
      <c r="B421" t="s">
        <v>1393</v>
      </c>
      <c r="C421" s="327"/>
      <c r="D421" s="327" t="str">
        <f t="shared" si="10"/>
        <v>NACE C - 32.40 Manufacture of games and toys</v>
      </c>
      <c r="K421" t="s">
        <v>5067</v>
      </c>
    </row>
    <row r="422" spans="1:11" x14ac:dyDescent="0.3">
      <c r="A422" s="326" t="s">
        <v>1394</v>
      </c>
      <c r="B422" t="s">
        <v>1395</v>
      </c>
      <c r="C422" s="327"/>
      <c r="D422" s="326" t="str">
        <f t="shared" si="10"/>
        <v>NACE C - 32.5 Manufacture of medical and dental instruments and supplies</v>
      </c>
      <c r="K422" t="s">
        <v>5068</v>
      </c>
    </row>
    <row r="423" spans="1:11" x14ac:dyDescent="0.3">
      <c r="A423" s="327" t="s">
        <v>1396</v>
      </c>
      <c r="B423" t="s">
        <v>1397</v>
      </c>
      <c r="C423" s="327"/>
      <c r="D423" s="327" t="str">
        <f t="shared" si="10"/>
        <v>NACE C - 32.50 Manufacture of medical and dental instruments and supplies</v>
      </c>
      <c r="K423" t="s">
        <v>5069</v>
      </c>
    </row>
    <row r="424" spans="1:11" x14ac:dyDescent="0.3">
      <c r="A424" s="326" t="s">
        <v>1398</v>
      </c>
      <c r="B424" t="s">
        <v>1399</v>
      </c>
      <c r="C424" s="327"/>
      <c r="D424" s="326" t="str">
        <f t="shared" si="10"/>
        <v>NACE C - 32.9 Manufacturing n.e.c.</v>
      </c>
      <c r="K424" t="s">
        <v>5070</v>
      </c>
    </row>
    <row r="425" spans="1:11" x14ac:dyDescent="0.3">
      <c r="A425" s="327" t="s">
        <v>1400</v>
      </c>
      <c r="B425" t="s">
        <v>1401</v>
      </c>
      <c r="C425" s="327"/>
      <c r="D425" s="327" t="str">
        <f t="shared" si="10"/>
        <v>NACE C - 32.91 Manufacture of brooms and brushes</v>
      </c>
      <c r="K425" t="s">
        <v>5071</v>
      </c>
    </row>
    <row r="426" spans="1:11" x14ac:dyDescent="0.3">
      <c r="A426" s="327" t="s">
        <v>1402</v>
      </c>
      <c r="B426" t="s">
        <v>1403</v>
      </c>
      <c r="C426" s="327"/>
      <c r="D426" s="327" t="str">
        <f t="shared" si="10"/>
        <v>NACE C - 32.99 Other manufacturing n.e.c.</v>
      </c>
      <c r="K426" t="s">
        <v>5072</v>
      </c>
    </row>
    <row r="427" spans="1:11" x14ac:dyDescent="0.3">
      <c r="A427" s="323" t="s">
        <v>1404</v>
      </c>
      <c r="B427" t="s">
        <v>1405</v>
      </c>
      <c r="C427" s="327"/>
      <c r="D427" s="323" t="str">
        <f t="shared" si="10"/>
        <v>NACE C - 33 Repair, maintenance and installation of machinery and equipment</v>
      </c>
      <c r="K427" t="s">
        <v>5073</v>
      </c>
    </row>
    <row r="428" spans="1:11" x14ac:dyDescent="0.3">
      <c r="A428" s="326" t="s">
        <v>1406</v>
      </c>
      <c r="B428" t="s">
        <v>1407</v>
      </c>
      <c r="C428" s="327"/>
      <c r="D428" s="326" t="str">
        <f t="shared" si="10"/>
        <v>NACE C - 33.1 Repair and maintenance of fabricated metal products, machinery and equipment</v>
      </c>
      <c r="K428" t="s">
        <v>5074</v>
      </c>
    </row>
    <row r="429" spans="1:11" x14ac:dyDescent="0.3">
      <c r="A429" s="327" t="s">
        <v>1408</v>
      </c>
      <c r="B429" t="s">
        <v>1409</v>
      </c>
      <c r="C429" s="327"/>
      <c r="D429" s="327" t="str">
        <f t="shared" si="10"/>
        <v>NACE C - 33.11 Repair and maintenance of fabricated metal products</v>
      </c>
      <c r="K429" t="s">
        <v>5075</v>
      </c>
    </row>
    <row r="430" spans="1:11" x14ac:dyDescent="0.3">
      <c r="A430" s="327" t="s">
        <v>1410</v>
      </c>
      <c r="B430" t="s">
        <v>1411</v>
      </c>
      <c r="C430" s="327"/>
      <c r="D430" s="327" t="str">
        <f t="shared" si="10"/>
        <v>NACE C - 33.12 Repair and maintenance of machinery</v>
      </c>
      <c r="K430" t="s">
        <v>5076</v>
      </c>
    </row>
    <row r="431" spans="1:11" x14ac:dyDescent="0.3">
      <c r="A431" s="327" t="s">
        <v>1412</v>
      </c>
      <c r="B431" t="s">
        <v>1413</v>
      </c>
      <c r="C431" s="327"/>
      <c r="D431" s="327" t="str">
        <f t="shared" si="10"/>
        <v>NACE C - 33.13 Repair and maintenance of electronic and optical equipment</v>
      </c>
      <c r="K431" t="s">
        <v>5077</v>
      </c>
    </row>
    <row r="432" spans="1:11" x14ac:dyDescent="0.3">
      <c r="A432" s="327" t="s">
        <v>1414</v>
      </c>
      <c r="B432" t="s">
        <v>1415</v>
      </c>
      <c r="C432" s="327"/>
      <c r="D432" s="327" t="str">
        <f t="shared" si="10"/>
        <v>NACE C - 33.14 Repair and maintenance of electrical equipment</v>
      </c>
      <c r="K432" t="s">
        <v>5078</v>
      </c>
    </row>
    <row r="433" spans="1:11" x14ac:dyDescent="0.3">
      <c r="A433" s="327" t="s">
        <v>1416</v>
      </c>
      <c r="B433" t="s">
        <v>1417</v>
      </c>
      <c r="C433" s="327"/>
      <c r="D433" s="327" t="str">
        <f t="shared" si="10"/>
        <v>NACE C - 33.15 Repair and maintenance of civilian ships and boats</v>
      </c>
      <c r="K433" t="s">
        <v>5079</v>
      </c>
    </row>
    <row r="434" spans="1:11" x14ac:dyDescent="0.3">
      <c r="A434" s="327" t="s">
        <v>1418</v>
      </c>
      <c r="B434" t="s">
        <v>1419</v>
      </c>
      <c r="C434" s="327"/>
      <c r="D434" s="327" t="str">
        <f t="shared" si="10"/>
        <v>NACE C - 33.16 Repair and maintenance of civilian air and spacecraft</v>
      </c>
      <c r="K434" t="s">
        <v>5080</v>
      </c>
    </row>
    <row r="435" spans="1:11" x14ac:dyDescent="0.3">
      <c r="A435" s="327" t="s">
        <v>1420</v>
      </c>
      <c r="B435" t="s">
        <v>1421</v>
      </c>
      <c r="C435" s="327"/>
      <c r="D435" s="327" t="str">
        <f t="shared" si="10"/>
        <v>NACE C - 33.17 Repair and maintenance of other civilian transport equipment</v>
      </c>
      <c r="K435" t="s">
        <v>5081</v>
      </c>
    </row>
    <row r="436" spans="1:11" x14ac:dyDescent="0.3">
      <c r="A436" s="327" t="s">
        <v>1422</v>
      </c>
      <c r="B436" t="s">
        <v>1423</v>
      </c>
      <c r="C436" s="327"/>
      <c r="D436" s="327" t="str">
        <f t="shared" si="10"/>
        <v>NACE C - 33.18 Repair and maintenance of military fighting vehicles, ships, boats, air and spacecraft</v>
      </c>
      <c r="K436" t="s">
        <v>5082</v>
      </c>
    </row>
    <row r="437" spans="1:11" x14ac:dyDescent="0.3">
      <c r="A437" s="327" t="s">
        <v>1424</v>
      </c>
      <c r="B437" t="s">
        <v>1425</v>
      </c>
      <c r="C437" s="327"/>
      <c r="D437" s="327" t="str">
        <f t="shared" si="10"/>
        <v>NACE C - 33.19 Repair and maintenance of other equipment</v>
      </c>
      <c r="K437" t="s">
        <v>5083</v>
      </c>
    </row>
    <row r="438" spans="1:11" x14ac:dyDescent="0.3">
      <c r="A438" s="326" t="s">
        <v>1426</v>
      </c>
      <c r="B438" t="s">
        <v>1427</v>
      </c>
      <c r="C438" s="327"/>
      <c r="D438" s="326" t="str">
        <f t="shared" si="10"/>
        <v>NACE C - 33.2 Installation of industrial machinery and equipment</v>
      </c>
      <c r="K438" t="s">
        <v>5084</v>
      </c>
    </row>
    <row r="439" spans="1:11" x14ac:dyDescent="0.3">
      <c r="A439" s="327" t="s">
        <v>1428</v>
      </c>
      <c r="B439" t="s">
        <v>1429</v>
      </c>
      <c r="C439" s="327"/>
      <c r="D439" s="327" t="str">
        <f t="shared" si="10"/>
        <v>NACE C - 33.20 Installation of industrial machinery and equipment</v>
      </c>
      <c r="K439" t="s">
        <v>5085</v>
      </c>
    </row>
    <row r="440" spans="1:11" x14ac:dyDescent="0.3">
      <c r="A440" s="324" t="s">
        <v>1430</v>
      </c>
      <c r="B440" t="s">
        <v>1431</v>
      </c>
      <c r="C440" s="327"/>
      <c r="D440" s="324" t="str">
        <f t="shared" si="10"/>
        <v>NACE D - ELECTRICITY, GAS, STEAM AND AIR CONDITIONING SUPPLY</v>
      </c>
      <c r="K440" t="s">
        <v>5086</v>
      </c>
    </row>
    <row r="441" spans="1:11" x14ac:dyDescent="0.3">
      <c r="A441" s="323" t="s">
        <v>1432</v>
      </c>
      <c r="B441" t="s">
        <v>1433</v>
      </c>
      <c r="C441" s="327"/>
      <c r="D441" s="323" t="str">
        <f t="shared" si="10"/>
        <v>NACE D - 35 Electricity, gas, steam and air conditioning supply</v>
      </c>
      <c r="K441" t="s">
        <v>5087</v>
      </c>
    </row>
    <row r="442" spans="1:11" x14ac:dyDescent="0.3">
      <c r="A442" s="326" t="s">
        <v>1434</v>
      </c>
      <c r="B442" t="s">
        <v>1435</v>
      </c>
      <c r="C442" s="327"/>
      <c r="D442" s="326" t="str">
        <f t="shared" si="10"/>
        <v>NACE D - 35.1 Electric power generation, transmission and distribution</v>
      </c>
      <c r="K442" t="s">
        <v>5088</v>
      </c>
    </row>
    <row r="443" spans="1:11" x14ac:dyDescent="0.3">
      <c r="A443" s="327" t="s">
        <v>1436</v>
      </c>
      <c r="B443" t="s">
        <v>1437</v>
      </c>
      <c r="C443" s="327"/>
      <c r="D443" s="327" t="str">
        <f t="shared" si="10"/>
        <v>NACE D - 35.11 Production of electricity from non-renewable sources</v>
      </c>
      <c r="K443" t="s">
        <v>5089</v>
      </c>
    </row>
    <row r="444" spans="1:11" x14ac:dyDescent="0.3">
      <c r="A444" s="327" t="s">
        <v>1438</v>
      </c>
      <c r="B444" t="s">
        <v>1439</v>
      </c>
      <c r="C444" s="327"/>
      <c r="D444" s="327" t="str">
        <f t="shared" si="10"/>
        <v>NACE D - 35.12 Production of electricity from renewable sources</v>
      </c>
      <c r="K444" t="s">
        <v>5090</v>
      </c>
    </row>
    <row r="445" spans="1:11" x14ac:dyDescent="0.3">
      <c r="A445" s="327" t="s">
        <v>1440</v>
      </c>
      <c r="B445" t="s">
        <v>1441</v>
      </c>
      <c r="C445" s="327"/>
      <c r="D445" s="327" t="str">
        <f t="shared" si="10"/>
        <v>NACE D - 35.13 Transmission of electricity</v>
      </c>
      <c r="K445" t="s">
        <v>5091</v>
      </c>
    </row>
    <row r="446" spans="1:11" x14ac:dyDescent="0.3">
      <c r="A446" s="327" t="s">
        <v>1442</v>
      </c>
      <c r="B446" t="s">
        <v>1443</v>
      </c>
      <c r="C446" s="327"/>
      <c r="D446" s="327" t="str">
        <f t="shared" si="10"/>
        <v>NACE D - 35.14 Distribution of electricity</v>
      </c>
      <c r="K446" t="s">
        <v>5092</v>
      </c>
    </row>
    <row r="447" spans="1:11" x14ac:dyDescent="0.3">
      <c r="A447" s="327" t="s">
        <v>1444</v>
      </c>
      <c r="B447" t="s">
        <v>1445</v>
      </c>
      <c r="C447" s="327"/>
      <c r="D447" s="327" t="str">
        <f t="shared" si="10"/>
        <v>NACE D - 35.15 Trade of electricity</v>
      </c>
      <c r="K447" t="s">
        <v>5093</v>
      </c>
    </row>
    <row r="448" spans="1:11" x14ac:dyDescent="0.3">
      <c r="A448" s="327" t="s">
        <v>1446</v>
      </c>
      <c r="B448" t="s">
        <v>1447</v>
      </c>
      <c r="C448" s="327"/>
      <c r="D448" s="327" t="str">
        <f t="shared" si="10"/>
        <v>NACE D - 35.16 Storage of electricity</v>
      </c>
      <c r="K448" t="s">
        <v>5094</v>
      </c>
    </row>
    <row r="449" spans="1:11" x14ac:dyDescent="0.3">
      <c r="A449" s="326" t="s">
        <v>1448</v>
      </c>
      <c r="B449" t="s">
        <v>1449</v>
      </c>
      <c r="C449" s="327"/>
      <c r="D449" s="326" t="str">
        <f t="shared" si="10"/>
        <v>NACE D - 35.2 Manufacture of gas, and distribution of gaseous fuels through mains</v>
      </c>
      <c r="K449" t="s">
        <v>5095</v>
      </c>
    </row>
    <row r="450" spans="1:11" x14ac:dyDescent="0.3">
      <c r="A450" s="327" t="s">
        <v>1450</v>
      </c>
      <c r="B450" t="s">
        <v>1451</v>
      </c>
      <c r="C450" s="327"/>
      <c r="D450" s="327" t="str">
        <f t="shared" ref="D450:D513" si="11">_xlfn.CONCAT("NACE ", A450)</f>
        <v>NACE D - 35.21 Manufacture of gas</v>
      </c>
      <c r="K450" t="s">
        <v>5096</v>
      </c>
    </row>
    <row r="451" spans="1:11" x14ac:dyDescent="0.3">
      <c r="A451" s="327" t="s">
        <v>1452</v>
      </c>
      <c r="B451" t="s">
        <v>1453</v>
      </c>
      <c r="C451" s="327"/>
      <c r="D451" s="327" t="str">
        <f t="shared" si="11"/>
        <v>NACE D - 35.22 Distribution of gaseous fuels through mains</v>
      </c>
      <c r="K451" t="s">
        <v>5097</v>
      </c>
    </row>
    <row r="452" spans="1:11" x14ac:dyDescent="0.3">
      <c r="A452" s="327" t="s">
        <v>1454</v>
      </c>
      <c r="B452" t="s">
        <v>1455</v>
      </c>
      <c r="C452" s="327"/>
      <c r="D452" s="327" t="str">
        <f t="shared" si="11"/>
        <v>NACE D - 35.23 Trade of gas through mains</v>
      </c>
      <c r="K452" t="s">
        <v>5098</v>
      </c>
    </row>
    <row r="453" spans="1:11" x14ac:dyDescent="0.3">
      <c r="A453" s="327" t="s">
        <v>1456</v>
      </c>
      <c r="B453" t="s">
        <v>1457</v>
      </c>
      <c r="C453" s="327"/>
      <c r="D453" s="327" t="str">
        <f t="shared" si="11"/>
        <v>NACE D - 35.24 Storage of gas as part of network supply services</v>
      </c>
      <c r="K453" t="s">
        <v>5099</v>
      </c>
    </row>
    <row r="454" spans="1:11" x14ac:dyDescent="0.3">
      <c r="A454" s="326" t="s">
        <v>1458</v>
      </c>
      <c r="B454" t="s">
        <v>1459</v>
      </c>
      <c r="C454" s="327"/>
      <c r="D454" s="326" t="str">
        <f t="shared" si="11"/>
        <v>NACE D - 35.3 Steam and air conditioning supply</v>
      </c>
      <c r="K454" t="s">
        <v>5100</v>
      </c>
    </row>
    <row r="455" spans="1:11" x14ac:dyDescent="0.3">
      <c r="A455" s="327" t="s">
        <v>1460</v>
      </c>
      <c r="B455" t="s">
        <v>1461</v>
      </c>
      <c r="C455" s="327"/>
      <c r="D455" s="327" t="str">
        <f t="shared" si="11"/>
        <v>NACE D - 35.30 Steam and air conditioning supply</v>
      </c>
      <c r="K455" t="s">
        <v>5101</v>
      </c>
    </row>
    <row r="456" spans="1:11" x14ac:dyDescent="0.3">
      <c r="A456" s="326" t="s">
        <v>1462</v>
      </c>
      <c r="B456" t="s">
        <v>1463</v>
      </c>
      <c r="C456" s="327"/>
      <c r="D456" s="326" t="str">
        <f t="shared" si="11"/>
        <v>NACE D - 35.4 Activities of brokers and agents for electric power and natural gas</v>
      </c>
      <c r="K456" t="s">
        <v>5102</v>
      </c>
    </row>
    <row r="457" spans="1:11" x14ac:dyDescent="0.3">
      <c r="A457" s="327" t="s">
        <v>1464</v>
      </c>
      <c r="B457" t="s">
        <v>1465</v>
      </c>
      <c r="C457" s="327"/>
      <c r="D457" s="327" t="str">
        <f t="shared" si="11"/>
        <v>NACE D - 35.40 Activities of brokers and agents for electric power and natural gas</v>
      </c>
      <c r="K457" t="s">
        <v>5103</v>
      </c>
    </row>
    <row r="458" spans="1:11" x14ac:dyDescent="0.3">
      <c r="A458" s="324" t="s">
        <v>1466</v>
      </c>
      <c r="B458" t="s">
        <v>1467</v>
      </c>
      <c r="C458" s="327"/>
      <c r="D458" s="324" t="str">
        <f t="shared" si="11"/>
        <v>NACE E - WATER SUPPLY; SEWERAGE, WASTE MANAGEMENT AND REMEDIATION ACTIVITIES</v>
      </c>
      <c r="K458" t="s">
        <v>5104</v>
      </c>
    </row>
    <row r="459" spans="1:11" x14ac:dyDescent="0.3">
      <c r="A459" s="323" t="s">
        <v>1468</v>
      </c>
      <c r="B459" t="s">
        <v>1469</v>
      </c>
      <c r="C459" s="327"/>
      <c r="D459" s="323" t="str">
        <f t="shared" si="11"/>
        <v>NACE E - 36 Water collection, treatment and supply</v>
      </c>
      <c r="K459" t="s">
        <v>5105</v>
      </c>
    </row>
    <row r="460" spans="1:11" x14ac:dyDescent="0.3">
      <c r="A460" s="326" t="s">
        <v>1470</v>
      </c>
      <c r="B460" t="s">
        <v>1471</v>
      </c>
      <c r="C460" s="327"/>
      <c r="D460" s="326" t="str">
        <f t="shared" si="11"/>
        <v>NACE E - 36.0 Water collection, treatment and supply</v>
      </c>
      <c r="K460" t="s">
        <v>5106</v>
      </c>
    </row>
    <row r="461" spans="1:11" x14ac:dyDescent="0.3">
      <c r="A461" s="327" t="s">
        <v>1472</v>
      </c>
      <c r="B461" t="s">
        <v>1473</v>
      </c>
      <c r="C461" s="327"/>
      <c r="D461" s="327" t="str">
        <f t="shared" si="11"/>
        <v>NACE E - 36.00 Water collection, treatment and supply</v>
      </c>
      <c r="K461" t="s">
        <v>5107</v>
      </c>
    </row>
    <row r="462" spans="1:11" x14ac:dyDescent="0.3">
      <c r="A462" s="323" t="s">
        <v>1474</v>
      </c>
      <c r="B462" t="s">
        <v>1475</v>
      </c>
      <c r="C462" s="327"/>
      <c r="D462" s="323" t="str">
        <f t="shared" si="11"/>
        <v>NACE E - 37 Sewerage</v>
      </c>
      <c r="K462" t="s">
        <v>5108</v>
      </c>
    </row>
    <row r="463" spans="1:11" x14ac:dyDescent="0.3">
      <c r="A463" s="326" t="s">
        <v>1476</v>
      </c>
      <c r="B463" t="s">
        <v>1477</v>
      </c>
      <c r="C463" s="327"/>
      <c r="D463" s="326" t="str">
        <f t="shared" si="11"/>
        <v>NACE E - 37.0 Sewerage</v>
      </c>
      <c r="K463" t="s">
        <v>5109</v>
      </c>
    </row>
    <row r="464" spans="1:11" x14ac:dyDescent="0.3">
      <c r="A464" s="327" t="s">
        <v>1478</v>
      </c>
      <c r="B464" t="s">
        <v>1479</v>
      </c>
      <c r="C464" s="327"/>
      <c r="D464" s="327" t="str">
        <f t="shared" si="11"/>
        <v>NACE E - 37.00 Sewerage</v>
      </c>
      <c r="K464" t="s">
        <v>5110</v>
      </c>
    </row>
    <row r="465" spans="1:11" x14ac:dyDescent="0.3">
      <c r="A465" s="323" t="s">
        <v>1480</v>
      </c>
      <c r="B465" t="s">
        <v>1481</v>
      </c>
      <c r="C465" s="327"/>
      <c r="D465" s="323" t="str">
        <f t="shared" si="11"/>
        <v>NACE E - 38 Waste collection, recovery and disposal activities</v>
      </c>
      <c r="K465" t="s">
        <v>5111</v>
      </c>
    </row>
    <row r="466" spans="1:11" x14ac:dyDescent="0.3">
      <c r="A466" s="326" t="s">
        <v>1482</v>
      </c>
      <c r="B466" t="s">
        <v>1483</v>
      </c>
      <c r="C466" s="327"/>
      <c r="D466" s="326" t="str">
        <f t="shared" si="11"/>
        <v>NACE E - 38.1 Waste collection</v>
      </c>
      <c r="K466" t="s">
        <v>5112</v>
      </c>
    </row>
    <row r="467" spans="1:11" x14ac:dyDescent="0.3">
      <c r="A467" s="327" t="s">
        <v>1484</v>
      </c>
      <c r="B467" t="s">
        <v>1485</v>
      </c>
      <c r="C467" s="327"/>
      <c r="D467" s="327" t="str">
        <f t="shared" si="11"/>
        <v>NACE E - 38.11 Collection of non-hazardous waste</v>
      </c>
      <c r="K467" t="s">
        <v>5113</v>
      </c>
    </row>
    <row r="468" spans="1:11" x14ac:dyDescent="0.3">
      <c r="A468" s="327" t="s">
        <v>1486</v>
      </c>
      <c r="B468" t="s">
        <v>1487</v>
      </c>
      <c r="C468" s="327"/>
      <c r="D468" s="327" t="str">
        <f t="shared" si="11"/>
        <v>NACE E - 38.12 Collection of hazardous waste</v>
      </c>
      <c r="K468" t="s">
        <v>5114</v>
      </c>
    </row>
    <row r="469" spans="1:11" x14ac:dyDescent="0.3">
      <c r="A469" s="326" t="s">
        <v>1488</v>
      </c>
      <c r="B469" t="s">
        <v>1489</v>
      </c>
      <c r="C469" s="327"/>
      <c r="D469" s="326" t="str">
        <f t="shared" si="11"/>
        <v>NACE E - 38.2 Waste recovery</v>
      </c>
      <c r="K469" t="s">
        <v>5115</v>
      </c>
    </row>
    <row r="470" spans="1:11" x14ac:dyDescent="0.3">
      <c r="A470" s="327" t="s">
        <v>1490</v>
      </c>
      <c r="B470" t="s">
        <v>1491</v>
      </c>
      <c r="C470" s="327"/>
      <c r="D470" s="327" t="str">
        <f t="shared" si="11"/>
        <v>NACE E - 38.21 Materials recovery</v>
      </c>
      <c r="K470" t="s">
        <v>5116</v>
      </c>
    </row>
    <row r="471" spans="1:11" x14ac:dyDescent="0.3">
      <c r="A471" s="327" t="s">
        <v>1492</v>
      </c>
      <c r="B471" t="s">
        <v>1493</v>
      </c>
      <c r="C471" s="327"/>
      <c r="D471" s="327" t="str">
        <f t="shared" si="11"/>
        <v>NACE E - 38.22 Energy recovery</v>
      </c>
      <c r="K471" t="s">
        <v>5117</v>
      </c>
    </row>
    <row r="472" spans="1:11" x14ac:dyDescent="0.3">
      <c r="A472" s="327" t="s">
        <v>1494</v>
      </c>
      <c r="B472" t="s">
        <v>1495</v>
      </c>
      <c r="C472" s="327"/>
      <c r="D472" s="327" t="str">
        <f t="shared" si="11"/>
        <v>NACE E - 38.23 Other waste recovery</v>
      </c>
      <c r="K472" t="s">
        <v>5118</v>
      </c>
    </row>
    <row r="473" spans="1:11" x14ac:dyDescent="0.3">
      <c r="A473" s="326" t="s">
        <v>1496</v>
      </c>
      <c r="B473" t="s">
        <v>1497</v>
      </c>
      <c r="C473" s="327"/>
      <c r="D473" s="326" t="str">
        <f t="shared" si="11"/>
        <v>NACE E - 38.3 Waste disposal without recovery</v>
      </c>
      <c r="K473" t="s">
        <v>5119</v>
      </c>
    </row>
    <row r="474" spans="1:11" x14ac:dyDescent="0.3">
      <c r="A474" s="327" t="s">
        <v>1498</v>
      </c>
      <c r="B474" t="s">
        <v>1499</v>
      </c>
      <c r="C474" s="327"/>
      <c r="D474" s="327" t="str">
        <f t="shared" si="11"/>
        <v>NACE E - 38.31 Incineration without energy recovery</v>
      </c>
      <c r="K474" t="s">
        <v>5120</v>
      </c>
    </row>
    <row r="475" spans="1:11" x14ac:dyDescent="0.3">
      <c r="A475" s="327" t="s">
        <v>1500</v>
      </c>
      <c r="B475" t="s">
        <v>1501</v>
      </c>
      <c r="C475" s="327"/>
      <c r="D475" s="327" t="str">
        <f t="shared" si="11"/>
        <v>NACE E - 38.32 Landfilling or permanent storage</v>
      </c>
      <c r="K475" t="s">
        <v>5121</v>
      </c>
    </row>
    <row r="476" spans="1:11" x14ac:dyDescent="0.3">
      <c r="A476" s="327" t="s">
        <v>1502</v>
      </c>
      <c r="B476" t="s">
        <v>1503</v>
      </c>
      <c r="C476" s="327"/>
      <c r="D476" s="327" t="str">
        <f t="shared" si="11"/>
        <v>NACE E - 38.33 Other waste disposal</v>
      </c>
      <c r="K476" t="s">
        <v>5122</v>
      </c>
    </row>
    <row r="477" spans="1:11" x14ac:dyDescent="0.3">
      <c r="A477" s="323" t="s">
        <v>1504</v>
      </c>
      <c r="B477" t="s">
        <v>1505</v>
      </c>
      <c r="C477" s="327"/>
      <c r="D477" s="323" t="str">
        <f t="shared" si="11"/>
        <v>NACE E - 39 Remediation activities and other waste management service activities</v>
      </c>
      <c r="K477" t="s">
        <v>5123</v>
      </c>
    </row>
    <row r="478" spans="1:11" x14ac:dyDescent="0.3">
      <c r="A478" s="326" t="s">
        <v>1506</v>
      </c>
      <c r="B478" t="s">
        <v>1507</v>
      </c>
      <c r="C478" s="327"/>
      <c r="D478" s="326" t="str">
        <f t="shared" si="11"/>
        <v>NACE E - 39.0 Remediation activities and other waste management service activities</v>
      </c>
      <c r="K478" t="s">
        <v>5124</v>
      </c>
    </row>
    <row r="479" spans="1:11" x14ac:dyDescent="0.3">
      <c r="A479" s="327" t="s">
        <v>1508</v>
      </c>
      <c r="B479" t="s">
        <v>1509</v>
      </c>
      <c r="C479" s="327"/>
      <c r="D479" s="327" t="str">
        <f t="shared" si="11"/>
        <v>NACE E - 39.00 Remediation activities and other waste management service activities</v>
      </c>
      <c r="K479" t="s">
        <v>5125</v>
      </c>
    </row>
    <row r="480" spans="1:11" x14ac:dyDescent="0.3">
      <c r="A480" s="324" t="s">
        <v>1510</v>
      </c>
      <c r="B480" t="s">
        <v>1511</v>
      </c>
      <c r="C480" s="327"/>
      <c r="D480" s="324" t="str">
        <f t="shared" si="11"/>
        <v>NACE F - CONSTRUCTION</v>
      </c>
      <c r="K480" t="s">
        <v>5126</v>
      </c>
    </row>
    <row r="481" spans="1:11" x14ac:dyDescent="0.3">
      <c r="A481" s="323" t="s">
        <v>1512</v>
      </c>
      <c r="B481" t="s">
        <v>1513</v>
      </c>
      <c r="C481" s="327"/>
      <c r="D481" s="323" t="str">
        <f t="shared" si="11"/>
        <v>NACE F - 41 Construction of residential and non-residential buildings</v>
      </c>
      <c r="K481" t="s">
        <v>5127</v>
      </c>
    </row>
    <row r="482" spans="1:11" x14ac:dyDescent="0.3">
      <c r="A482" s="326" t="s">
        <v>1514</v>
      </c>
      <c r="B482" t="s">
        <v>1515</v>
      </c>
      <c r="C482" s="327"/>
      <c r="D482" s="326" t="str">
        <f t="shared" si="11"/>
        <v>NACE F - 41.0 Construction of residential and non-residential buildings</v>
      </c>
      <c r="K482" t="s">
        <v>5128</v>
      </c>
    </row>
    <row r="483" spans="1:11" x14ac:dyDescent="0.3">
      <c r="A483" s="327" t="s">
        <v>1516</v>
      </c>
      <c r="B483" t="s">
        <v>1517</v>
      </c>
      <c r="C483" s="327"/>
      <c r="D483" s="327" t="str">
        <f t="shared" si="11"/>
        <v>NACE F - 41.00 Construction of residential and non-residential buildings</v>
      </c>
      <c r="K483" t="s">
        <v>5129</v>
      </c>
    </row>
    <row r="484" spans="1:11" x14ac:dyDescent="0.3">
      <c r="A484" s="323" t="s">
        <v>1518</v>
      </c>
      <c r="B484" t="s">
        <v>1519</v>
      </c>
      <c r="C484" s="327"/>
      <c r="D484" s="323" t="str">
        <f t="shared" si="11"/>
        <v>NACE F - 42 Civil engineering</v>
      </c>
      <c r="K484" t="s">
        <v>5130</v>
      </c>
    </row>
    <row r="485" spans="1:11" x14ac:dyDescent="0.3">
      <c r="A485" s="326" t="s">
        <v>1520</v>
      </c>
      <c r="B485" t="s">
        <v>1521</v>
      </c>
      <c r="C485" s="327"/>
      <c r="D485" s="326" t="str">
        <f t="shared" si="11"/>
        <v>NACE F - 42.1 Construction of roads and railways</v>
      </c>
      <c r="K485" t="s">
        <v>5131</v>
      </c>
    </row>
    <row r="486" spans="1:11" x14ac:dyDescent="0.3">
      <c r="A486" s="327" t="s">
        <v>1522</v>
      </c>
      <c r="B486" t="s">
        <v>1523</v>
      </c>
      <c r="C486" s="327"/>
      <c r="D486" s="327" t="str">
        <f t="shared" si="11"/>
        <v>NACE F - 42.11 Construction of roads and motorways</v>
      </c>
      <c r="K486" t="s">
        <v>5132</v>
      </c>
    </row>
    <row r="487" spans="1:11" x14ac:dyDescent="0.3">
      <c r="A487" s="327" t="s">
        <v>1524</v>
      </c>
      <c r="B487" t="s">
        <v>1525</v>
      </c>
      <c r="C487" s="327"/>
      <c r="D487" s="327" t="str">
        <f t="shared" si="11"/>
        <v>NACE F - 42.12 Construction of railways and underground railways</v>
      </c>
      <c r="K487" t="s">
        <v>5133</v>
      </c>
    </row>
    <row r="488" spans="1:11" x14ac:dyDescent="0.3">
      <c r="A488" s="327" t="s">
        <v>1526</v>
      </c>
      <c r="B488" t="s">
        <v>1527</v>
      </c>
      <c r="C488" s="327"/>
      <c r="D488" s="327" t="str">
        <f t="shared" si="11"/>
        <v>NACE F - 42.13 Construction of bridges and tunnels</v>
      </c>
      <c r="K488" t="s">
        <v>5134</v>
      </c>
    </row>
    <row r="489" spans="1:11" x14ac:dyDescent="0.3">
      <c r="A489" s="326" t="s">
        <v>1528</v>
      </c>
      <c r="B489" t="s">
        <v>1529</v>
      </c>
      <c r="C489" s="327"/>
      <c r="D489" s="326" t="str">
        <f t="shared" si="11"/>
        <v>NACE F - 42.2 Construction of utility projects</v>
      </c>
      <c r="K489" t="s">
        <v>5135</v>
      </c>
    </row>
    <row r="490" spans="1:11" x14ac:dyDescent="0.3">
      <c r="A490" s="327" t="s">
        <v>1530</v>
      </c>
      <c r="B490" t="s">
        <v>1531</v>
      </c>
      <c r="C490" s="327"/>
      <c r="D490" s="327" t="str">
        <f t="shared" si="11"/>
        <v>NACE F - 42.21 Construction of utility projects for fluids</v>
      </c>
      <c r="K490" t="s">
        <v>5136</v>
      </c>
    </row>
    <row r="491" spans="1:11" x14ac:dyDescent="0.3">
      <c r="A491" s="327" t="s">
        <v>1532</v>
      </c>
      <c r="B491" t="s">
        <v>1533</v>
      </c>
      <c r="C491" s="327"/>
      <c r="D491" s="327" t="str">
        <f t="shared" si="11"/>
        <v>NACE F - 42.22 Construction of utility projects for electricity and telecommunications</v>
      </c>
      <c r="K491" t="s">
        <v>5137</v>
      </c>
    </row>
    <row r="492" spans="1:11" x14ac:dyDescent="0.3">
      <c r="A492" s="326" t="s">
        <v>1534</v>
      </c>
      <c r="B492" t="s">
        <v>1535</v>
      </c>
      <c r="C492" s="327"/>
      <c r="D492" s="326" t="str">
        <f t="shared" si="11"/>
        <v>NACE F - 42.9 Construction of other civil engineering projects</v>
      </c>
      <c r="K492" t="s">
        <v>5138</v>
      </c>
    </row>
    <row r="493" spans="1:11" x14ac:dyDescent="0.3">
      <c r="A493" s="327" t="s">
        <v>1536</v>
      </c>
      <c r="B493" t="s">
        <v>1537</v>
      </c>
      <c r="C493" s="327"/>
      <c r="D493" s="327" t="str">
        <f t="shared" si="11"/>
        <v>NACE F - 42.91 Construction of water projects</v>
      </c>
      <c r="K493" t="s">
        <v>5139</v>
      </c>
    </row>
    <row r="494" spans="1:11" x14ac:dyDescent="0.3">
      <c r="A494" s="327" t="s">
        <v>1538</v>
      </c>
      <c r="B494" t="s">
        <v>1539</v>
      </c>
      <c r="C494" s="327"/>
      <c r="D494" s="327" t="str">
        <f t="shared" si="11"/>
        <v>NACE F - 42.99 Construction of other civil engineering projects n.e.c.</v>
      </c>
      <c r="K494" t="s">
        <v>5140</v>
      </c>
    </row>
    <row r="495" spans="1:11" x14ac:dyDescent="0.3">
      <c r="A495" s="323" t="s">
        <v>1540</v>
      </c>
      <c r="B495" t="s">
        <v>1541</v>
      </c>
      <c r="C495" s="327"/>
      <c r="D495" s="323" t="str">
        <f t="shared" si="11"/>
        <v>NACE F - 43 Specialised construction activities</v>
      </c>
      <c r="K495" t="s">
        <v>5141</v>
      </c>
    </row>
    <row r="496" spans="1:11" x14ac:dyDescent="0.3">
      <c r="A496" s="326" t="s">
        <v>1542</v>
      </c>
      <c r="B496" t="s">
        <v>1543</v>
      </c>
      <c r="C496" s="327"/>
      <c r="D496" s="326" t="str">
        <f t="shared" si="11"/>
        <v>NACE F - 43.1 Demolition and site preparation</v>
      </c>
      <c r="K496" t="s">
        <v>5142</v>
      </c>
    </row>
    <row r="497" spans="1:11" x14ac:dyDescent="0.3">
      <c r="A497" s="327" t="s">
        <v>1544</v>
      </c>
      <c r="B497" t="s">
        <v>1545</v>
      </c>
      <c r="C497" s="327"/>
      <c r="D497" s="327" t="str">
        <f t="shared" si="11"/>
        <v>NACE F - 43.11 Demolition</v>
      </c>
      <c r="K497" t="s">
        <v>5143</v>
      </c>
    </row>
    <row r="498" spans="1:11" x14ac:dyDescent="0.3">
      <c r="A498" s="327" t="s">
        <v>1546</v>
      </c>
      <c r="B498" t="s">
        <v>1547</v>
      </c>
      <c r="C498" s="327"/>
      <c r="D498" s="327" t="str">
        <f t="shared" si="11"/>
        <v>NACE F - 43.12 Site preparation</v>
      </c>
      <c r="K498" t="s">
        <v>5144</v>
      </c>
    </row>
    <row r="499" spans="1:11" x14ac:dyDescent="0.3">
      <c r="A499" s="327" t="s">
        <v>1548</v>
      </c>
      <c r="B499" t="s">
        <v>1549</v>
      </c>
      <c r="C499" s="327"/>
      <c r="D499" s="327" t="str">
        <f t="shared" si="11"/>
        <v>NACE F - 43.13 Test drilling and boring</v>
      </c>
      <c r="K499" t="s">
        <v>5145</v>
      </c>
    </row>
    <row r="500" spans="1:11" x14ac:dyDescent="0.3">
      <c r="A500" s="326" t="s">
        <v>1550</v>
      </c>
      <c r="B500" t="s">
        <v>1551</v>
      </c>
      <c r="C500" s="327"/>
      <c r="D500" s="326" t="str">
        <f t="shared" si="11"/>
        <v>NACE F - 43.2 Electrical, plumbing and other construction installation activities</v>
      </c>
      <c r="K500" t="s">
        <v>5146</v>
      </c>
    </row>
    <row r="501" spans="1:11" x14ac:dyDescent="0.3">
      <c r="A501" s="327" t="s">
        <v>1552</v>
      </c>
      <c r="B501" t="s">
        <v>1553</v>
      </c>
      <c r="C501" s="327"/>
      <c r="D501" s="327" t="str">
        <f t="shared" si="11"/>
        <v>NACE F - 43.21 Electrical installation</v>
      </c>
      <c r="K501" t="s">
        <v>5147</v>
      </c>
    </row>
    <row r="502" spans="1:11" x14ac:dyDescent="0.3">
      <c r="A502" s="327" t="s">
        <v>1554</v>
      </c>
      <c r="B502" t="s">
        <v>1555</v>
      </c>
      <c r="C502" s="327"/>
      <c r="D502" s="327" t="str">
        <f t="shared" si="11"/>
        <v>NACE F - 43.22 Plumbing, heat and air-conditioning installation</v>
      </c>
      <c r="K502" t="s">
        <v>5148</v>
      </c>
    </row>
    <row r="503" spans="1:11" x14ac:dyDescent="0.3">
      <c r="A503" s="327" t="s">
        <v>1556</v>
      </c>
      <c r="B503" t="s">
        <v>1557</v>
      </c>
      <c r="C503" s="327"/>
      <c r="D503" s="327" t="str">
        <f t="shared" si="11"/>
        <v>NACE F - 43.23 Installation of insulation</v>
      </c>
      <c r="K503" t="s">
        <v>5149</v>
      </c>
    </row>
    <row r="504" spans="1:11" x14ac:dyDescent="0.3">
      <c r="A504" s="327" t="s">
        <v>1558</v>
      </c>
      <c r="B504" t="s">
        <v>1559</v>
      </c>
      <c r="C504" s="327"/>
      <c r="D504" s="327" t="str">
        <f t="shared" si="11"/>
        <v>NACE F - 43.24 Other construction installation</v>
      </c>
      <c r="K504" t="s">
        <v>5150</v>
      </c>
    </row>
    <row r="505" spans="1:11" x14ac:dyDescent="0.3">
      <c r="A505" s="326" t="s">
        <v>1560</v>
      </c>
      <c r="B505" t="s">
        <v>1561</v>
      </c>
      <c r="C505" s="327"/>
      <c r="D505" s="326" t="str">
        <f t="shared" si="11"/>
        <v>NACE F - 43.3 Building completion and finishing</v>
      </c>
      <c r="K505" t="s">
        <v>5151</v>
      </c>
    </row>
    <row r="506" spans="1:11" x14ac:dyDescent="0.3">
      <c r="A506" s="327" t="s">
        <v>1562</v>
      </c>
      <c r="B506" t="s">
        <v>1563</v>
      </c>
      <c r="C506" s="327"/>
      <c r="D506" s="327" t="str">
        <f t="shared" si="11"/>
        <v>NACE F - 43.31 Plastering</v>
      </c>
      <c r="K506" t="s">
        <v>5152</v>
      </c>
    </row>
    <row r="507" spans="1:11" x14ac:dyDescent="0.3">
      <c r="A507" s="327" t="s">
        <v>1564</v>
      </c>
      <c r="B507" t="s">
        <v>1565</v>
      </c>
      <c r="C507" s="327"/>
      <c r="D507" s="327" t="str">
        <f t="shared" si="11"/>
        <v>NACE F - 43.32 Joinery installation</v>
      </c>
      <c r="K507" t="s">
        <v>5153</v>
      </c>
    </row>
    <row r="508" spans="1:11" x14ac:dyDescent="0.3">
      <c r="A508" s="327" t="s">
        <v>1566</v>
      </c>
      <c r="B508" t="s">
        <v>1567</v>
      </c>
      <c r="C508" s="327"/>
      <c r="D508" s="327" t="str">
        <f t="shared" si="11"/>
        <v>NACE F - 43.33 Floor and wall covering</v>
      </c>
      <c r="K508" t="s">
        <v>5154</v>
      </c>
    </row>
    <row r="509" spans="1:11" x14ac:dyDescent="0.3">
      <c r="A509" s="327" t="s">
        <v>1568</v>
      </c>
      <c r="B509" t="s">
        <v>1569</v>
      </c>
      <c r="C509" s="327"/>
      <c r="D509" s="327" t="str">
        <f t="shared" si="11"/>
        <v>NACE F - 43.34 Painting and glazing</v>
      </c>
      <c r="K509" t="s">
        <v>5155</v>
      </c>
    </row>
    <row r="510" spans="1:11" x14ac:dyDescent="0.3">
      <c r="A510" s="327" t="s">
        <v>1570</v>
      </c>
      <c r="B510" t="s">
        <v>1571</v>
      </c>
      <c r="C510" s="327"/>
      <c r="D510" s="327" t="str">
        <f t="shared" si="11"/>
        <v>NACE F - 43.35 Other building completion and finishing</v>
      </c>
      <c r="K510" t="s">
        <v>5156</v>
      </c>
    </row>
    <row r="511" spans="1:11" x14ac:dyDescent="0.3">
      <c r="A511" s="326" t="s">
        <v>1572</v>
      </c>
      <c r="B511" t="s">
        <v>1573</v>
      </c>
      <c r="C511" s="327"/>
      <c r="D511" s="326" t="str">
        <f t="shared" si="11"/>
        <v>NACE F - 43.4 Specialised construction activities in construction of buildings</v>
      </c>
      <c r="K511" t="s">
        <v>5157</v>
      </c>
    </row>
    <row r="512" spans="1:11" x14ac:dyDescent="0.3">
      <c r="A512" s="327" t="s">
        <v>1574</v>
      </c>
      <c r="B512" t="s">
        <v>1575</v>
      </c>
      <c r="C512" s="327"/>
      <c r="D512" s="327" t="str">
        <f t="shared" si="11"/>
        <v>NACE F - 43.41 Roofing activities</v>
      </c>
      <c r="K512" t="s">
        <v>5158</v>
      </c>
    </row>
    <row r="513" spans="1:11" x14ac:dyDescent="0.3">
      <c r="A513" s="327" t="s">
        <v>1576</v>
      </c>
      <c r="B513" t="s">
        <v>1577</v>
      </c>
      <c r="C513" s="327"/>
      <c r="D513" s="327" t="str">
        <f t="shared" si="11"/>
        <v>NACE F - 43.42 Other specialised construction activities in construction of buildings</v>
      </c>
      <c r="K513" t="s">
        <v>5159</v>
      </c>
    </row>
    <row r="514" spans="1:11" x14ac:dyDescent="0.3">
      <c r="A514" s="326" t="s">
        <v>1578</v>
      </c>
      <c r="B514" t="s">
        <v>1579</v>
      </c>
      <c r="C514" s="327"/>
      <c r="D514" s="326" t="str">
        <f t="shared" ref="D514:D577" si="12">_xlfn.CONCAT("NACE ", A514)</f>
        <v>NACE F - 43.5 Specialised construction activities in civil engineering</v>
      </c>
      <c r="K514" t="s">
        <v>5160</v>
      </c>
    </row>
    <row r="515" spans="1:11" x14ac:dyDescent="0.3">
      <c r="A515" s="327" t="s">
        <v>1580</v>
      </c>
      <c r="B515" t="s">
        <v>1581</v>
      </c>
      <c r="C515" s="327"/>
      <c r="D515" s="327" t="str">
        <f t="shared" si="12"/>
        <v>NACE F - 43.50 Specialised construction activities in civil engineering</v>
      </c>
      <c r="K515" t="s">
        <v>5161</v>
      </c>
    </row>
    <row r="516" spans="1:11" x14ac:dyDescent="0.3">
      <c r="A516" s="326" t="s">
        <v>1582</v>
      </c>
      <c r="B516" t="s">
        <v>1583</v>
      </c>
      <c r="C516" s="327"/>
      <c r="D516" s="326" t="str">
        <f t="shared" si="12"/>
        <v>NACE F - 43.6 Intermediation service activities for specialised construction services</v>
      </c>
      <c r="K516" t="s">
        <v>5162</v>
      </c>
    </row>
    <row r="517" spans="1:11" x14ac:dyDescent="0.3">
      <c r="A517" s="327" t="s">
        <v>1584</v>
      </c>
      <c r="B517" t="s">
        <v>1585</v>
      </c>
      <c r="C517" s="327"/>
      <c r="D517" s="327" t="str">
        <f t="shared" si="12"/>
        <v>NACE F - 43.60 Intermediation service activities for specialised construction services</v>
      </c>
      <c r="K517" t="s">
        <v>5163</v>
      </c>
    </row>
    <row r="518" spans="1:11" x14ac:dyDescent="0.3">
      <c r="A518" s="326" t="s">
        <v>1586</v>
      </c>
      <c r="B518" t="s">
        <v>1587</v>
      </c>
      <c r="C518" s="327"/>
      <c r="D518" s="326" t="str">
        <f t="shared" si="12"/>
        <v>NACE F - 43.9 Other specialised construction activities</v>
      </c>
      <c r="K518" t="s">
        <v>5164</v>
      </c>
    </row>
    <row r="519" spans="1:11" x14ac:dyDescent="0.3">
      <c r="A519" s="327" t="s">
        <v>1588</v>
      </c>
      <c r="B519" t="s">
        <v>1589</v>
      </c>
      <c r="C519" s="327"/>
      <c r="D519" s="327" t="str">
        <f t="shared" si="12"/>
        <v>NACE F - 43.91 Masonry and bricklaying activities</v>
      </c>
      <c r="K519" t="s">
        <v>5165</v>
      </c>
    </row>
    <row r="520" spans="1:11" x14ac:dyDescent="0.3">
      <c r="A520" s="327" t="s">
        <v>1590</v>
      </c>
      <c r="B520" t="s">
        <v>1591</v>
      </c>
      <c r="C520" s="327"/>
      <c r="D520" s="327" t="str">
        <f t="shared" si="12"/>
        <v>NACE F - 43.99 Other specialised construction activities n.e.c.</v>
      </c>
      <c r="K520" t="s">
        <v>5166</v>
      </c>
    </row>
    <row r="521" spans="1:11" x14ac:dyDescent="0.3">
      <c r="A521" s="324" t="s">
        <v>1592</v>
      </c>
      <c r="B521" t="s">
        <v>1593</v>
      </c>
      <c r="C521" s="327"/>
      <c r="D521" s="324" t="str">
        <f t="shared" si="12"/>
        <v>NACE G - WHOLESALE AND RETAIL TRADE</v>
      </c>
      <c r="K521" t="s">
        <v>5167</v>
      </c>
    </row>
    <row r="522" spans="1:11" x14ac:dyDescent="0.3">
      <c r="A522" s="323" t="s">
        <v>1594</v>
      </c>
      <c r="B522" t="s">
        <v>1595</v>
      </c>
      <c r="C522" s="327"/>
      <c r="D522" s="323" t="str">
        <f t="shared" si="12"/>
        <v>NACE G - 46 Wholesale trade</v>
      </c>
      <c r="K522" t="s">
        <v>5168</v>
      </c>
    </row>
    <row r="523" spans="1:11" x14ac:dyDescent="0.3">
      <c r="A523" s="326" t="s">
        <v>1596</v>
      </c>
      <c r="B523" t="s">
        <v>1597</v>
      </c>
      <c r="C523" s="327"/>
      <c r="D523" s="326" t="str">
        <f t="shared" si="12"/>
        <v>NACE G - 46.1 Wholesale on a fee or contract basis</v>
      </c>
      <c r="K523" t="s">
        <v>5169</v>
      </c>
    </row>
    <row r="524" spans="1:11" x14ac:dyDescent="0.3">
      <c r="A524" s="327" t="s">
        <v>1598</v>
      </c>
      <c r="B524" t="s">
        <v>1599</v>
      </c>
      <c r="C524" s="327"/>
      <c r="D524" s="327" t="str">
        <f t="shared" si="12"/>
        <v>NACE G - 46.11 Activities of agents involved in the wholesale of agricultural raw materials, live animals, textile raw materials and semi-finished goods</v>
      </c>
      <c r="K524" t="s">
        <v>5170</v>
      </c>
    </row>
    <row r="525" spans="1:11" x14ac:dyDescent="0.3">
      <c r="A525" s="327" t="s">
        <v>1600</v>
      </c>
      <c r="B525" t="s">
        <v>1601</v>
      </c>
      <c r="C525" s="327"/>
      <c r="D525" s="327" t="str">
        <f t="shared" si="12"/>
        <v>NACE G - 46.12 Activities of agents involved in the wholesale of fuels, ores, metals and industrial chemicals</v>
      </c>
      <c r="K525" t="s">
        <v>5171</v>
      </c>
    </row>
    <row r="526" spans="1:11" x14ac:dyDescent="0.3">
      <c r="A526" s="327" t="s">
        <v>1602</v>
      </c>
      <c r="B526" t="s">
        <v>1603</v>
      </c>
      <c r="C526" s="327"/>
      <c r="D526" s="327" t="str">
        <f t="shared" si="12"/>
        <v>NACE G - 46.13 Activities of agents involved in the wholesale of timber and building materials</v>
      </c>
      <c r="K526" t="s">
        <v>5172</v>
      </c>
    </row>
    <row r="527" spans="1:11" x14ac:dyDescent="0.3">
      <c r="A527" s="327" t="s">
        <v>1604</v>
      </c>
      <c r="B527" t="s">
        <v>1605</v>
      </c>
      <c r="C527" s="327"/>
      <c r="D527" s="327" t="str">
        <f t="shared" si="12"/>
        <v>NACE G - 46.14 Activities of agents involved in the wholesale of machinery, industrial equipment, ships and aircraft</v>
      </c>
      <c r="K527" t="s">
        <v>5173</v>
      </c>
    </row>
    <row r="528" spans="1:11" x14ac:dyDescent="0.3">
      <c r="A528" s="327" t="s">
        <v>1606</v>
      </c>
      <c r="B528" t="s">
        <v>1607</v>
      </c>
      <c r="C528" s="327"/>
      <c r="D528" s="327" t="str">
        <f t="shared" si="12"/>
        <v>NACE G - 46.15 Activities of agents involved in the wholesale of furniture, household goods, hardware and ironmongery</v>
      </c>
      <c r="K528" t="s">
        <v>5174</v>
      </c>
    </row>
    <row r="529" spans="1:11" x14ac:dyDescent="0.3">
      <c r="A529" s="327" t="s">
        <v>1608</v>
      </c>
      <c r="B529" t="s">
        <v>1609</v>
      </c>
      <c r="C529" s="327"/>
      <c r="D529" s="327" t="str">
        <f t="shared" si="12"/>
        <v>NACE G - 46.16 Activities of agents involved in the wholesale of textiles, clothing, fur, footwear and leather goods</v>
      </c>
      <c r="K529" t="s">
        <v>5175</v>
      </c>
    </row>
    <row r="530" spans="1:11" x14ac:dyDescent="0.3">
      <c r="A530" s="327" t="s">
        <v>1610</v>
      </c>
      <c r="B530" t="s">
        <v>1611</v>
      </c>
      <c r="C530" s="327"/>
      <c r="D530" s="327" t="str">
        <f t="shared" si="12"/>
        <v>NACE G - 46.17 Activities of agents involved in the wholesale of food, beverages and tobacco</v>
      </c>
      <c r="K530" t="s">
        <v>5176</v>
      </c>
    </row>
    <row r="531" spans="1:11" x14ac:dyDescent="0.3">
      <c r="A531" s="327" t="s">
        <v>1612</v>
      </c>
      <c r="B531" t="s">
        <v>1613</v>
      </c>
      <c r="C531" s="327"/>
      <c r="D531" s="327" t="str">
        <f t="shared" si="12"/>
        <v>NACE G - 46.18 Activities of agents involved in the wholesale of other particular products</v>
      </c>
      <c r="K531" t="s">
        <v>5177</v>
      </c>
    </row>
    <row r="532" spans="1:11" x14ac:dyDescent="0.3">
      <c r="A532" s="327" t="s">
        <v>1614</v>
      </c>
      <c r="B532" t="s">
        <v>1615</v>
      </c>
      <c r="C532" s="327"/>
      <c r="D532" s="327" t="str">
        <f t="shared" si="12"/>
        <v>NACE G - 46.19 Activities of agents involved in non-specialised wholesale</v>
      </c>
      <c r="K532" t="s">
        <v>5178</v>
      </c>
    </row>
    <row r="533" spans="1:11" x14ac:dyDescent="0.3">
      <c r="A533" s="326" t="s">
        <v>1616</v>
      </c>
      <c r="B533" t="s">
        <v>1617</v>
      </c>
      <c r="C533" s="327"/>
      <c r="D533" s="326" t="str">
        <f t="shared" si="12"/>
        <v>NACE G - 46.2 Wholesale of agricultural raw materials and live animals</v>
      </c>
      <c r="K533" t="s">
        <v>5179</v>
      </c>
    </row>
    <row r="534" spans="1:11" x14ac:dyDescent="0.3">
      <c r="A534" s="327" t="s">
        <v>1618</v>
      </c>
      <c r="B534" t="s">
        <v>1619</v>
      </c>
      <c r="C534" s="327"/>
      <c r="D534" s="327" t="str">
        <f t="shared" si="12"/>
        <v>NACE G - 46.21 Wholesale of grain, unmanufactured tobacco, seeds and animal feeds</v>
      </c>
      <c r="K534" t="s">
        <v>5180</v>
      </c>
    </row>
    <row r="535" spans="1:11" x14ac:dyDescent="0.3">
      <c r="A535" s="327" t="s">
        <v>1620</v>
      </c>
      <c r="B535" t="s">
        <v>1621</v>
      </c>
      <c r="C535" s="327"/>
      <c r="D535" s="327" t="str">
        <f t="shared" si="12"/>
        <v>NACE G - 46.22 Wholesale of flowers and plants</v>
      </c>
      <c r="K535" t="s">
        <v>5181</v>
      </c>
    </row>
    <row r="536" spans="1:11" x14ac:dyDescent="0.3">
      <c r="A536" s="327" t="s">
        <v>1622</v>
      </c>
      <c r="B536" t="s">
        <v>1623</v>
      </c>
      <c r="C536" s="327"/>
      <c r="D536" s="327" t="str">
        <f t="shared" si="12"/>
        <v>NACE G - 46.23 Wholesale of live animals</v>
      </c>
      <c r="K536" t="s">
        <v>5182</v>
      </c>
    </row>
    <row r="537" spans="1:11" x14ac:dyDescent="0.3">
      <c r="A537" s="327" t="s">
        <v>1624</v>
      </c>
      <c r="B537" t="s">
        <v>1625</v>
      </c>
      <c r="C537" s="327"/>
      <c r="D537" s="327" t="str">
        <f t="shared" si="12"/>
        <v>NACE G - 46.24 Wholesale of hides, skins and leather</v>
      </c>
      <c r="K537" t="s">
        <v>5183</v>
      </c>
    </row>
    <row r="538" spans="1:11" x14ac:dyDescent="0.3">
      <c r="A538" s="326" t="s">
        <v>1626</v>
      </c>
      <c r="B538" t="s">
        <v>1627</v>
      </c>
      <c r="C538" s="327"/>
      <c r="D538" s="326" t="str">
        <f t="shared" si="12"/>
        <v>NACE G - 46.3 Wholesale of food, beverages and tobacco</v>
      </c>
      <c r="K538" t="s">
        <v>5184</v>
      </c>
    </row>
    <row r="539" spans="1:11" x14ac:dyDescent="0.3">
      <c r="A539" s="327" t="s">
        <v>1628</v>
      </c>
      <c r="B539" t="s">
        <v>1629</v>
      </c>
      <c r="C539" s="327"/>
      <c r="D539" s="327" t="str">
        <f t="shared" si="12"/>
        <v>NACE G - 46.31 Wholesale of fruit and vegetables</v>
      </c>
      <c r="K539" t="s">
        <v>5185</v>
      </c>
    </row>
    <row r="540" spans="1:11" x14ac:dyDescent="0.3">
      <c r="A540" s="327" t="s">
        <v>1630</v>
      </c>
      <c r="B540" t="s">
        <v>1631</v>
      </c>
      <c r="C540" s="327"/>
      <c r="D540" s="327" t="str">
        <f t="shared" si="12"/>
        <v>NACE G - 46.32 Wholesale of meat, meat products, fish and fish products</v>
      </c>
      <c r="K540" t="s">
        <v>5186</v>
      </c>
    </row>
    <row r="541" spans="1:11" x14ac:dyDescent="0.3">
      <c r="A541" s="327" t="s">
        <v>1632</v>
      </c>
      <c r="B541" t="s">
        <v>1633</v>
      </c>
      <c r="C541" s="327"/>
      <c r="D541" s="327" t="str">
        <f t="shared" si="12"/>
        <v>NACE G - 46.33 Wholesale of dairy products, eggs and edible oils and fats</v>
      </c>
      <c r="K541" t="s">
        <v>5187</v>
      </c>
    </row>
    <row r="542" spans="1:11" x14ac:dyDescent="0.3">
      <c r="A542" s="327" t="s">
        <v>1634</v>
      </c>
      <c r="B542" t="s">
        <v>1635</v>
      </c>
      <c r="C542" s="327"/>
      <c r="D542" s="327" t="str">
        <f t="shared" si="12"/>
        <v>NACE G - 46.34 Wholesale of beverages</v>
      </c>
      <c r="K542" t="s">
        <v>5188</v>
      </c>
    </row>
    <row r="543" spans="1:11" x14ac:dyDescent="0.3">
      <c r="A543" s="327" t="s">
        <v>1636</v>
      </c>
      <c r="B543" t="s">
        <v>1637</v>
      </c>
      <c r="C543" s="327"/>
      <c r="D543" s="327" t="str">
        <f t="shared" si="12"/>
        <v>NACE G - 46.35 Wholesale of tobacco products</v>
      </c>
      <c r="K543" t="s">
        <v>5189</v>
      </c>
    </row>
    <row r="544" spans="1:11" x14ac:dyDescent="0.3">
      <c r="A544" s="327" t="s">
        <v>1638</v>
      </c>
      <c r="B544" t="s">
        <v>1639</v>
      </c>
      <c r="C544" s="327"/>
      <c r="D544" s="327" t="str">
        <f t="shared" si="12"/>
        <v>NACE G - 46.36 Wholesale of sugar, chocolate and sugar confectionery</v>
      </c>
      <c r="K544" t="s">
        <v>5190</v>
      </c>
    </row>
    <row r="545" spans="1:11" x14ac:dyDescent="0.3">
      <c r="A545" s="327" t="s">
        <v>1640</v>
      </c>
      <c r="B545" t="s">
        <v>1641</v>
      </c>
      <c r="C545" s="327"/>
      <c r="D545" s="327" t="str">
        <f t="shared" si="12"/>
        <v>NACE G - 46.37 Wholesale of coffee, tea, cocoa and spices</v>
      </c>
      <c r="K545" t="s">
        <v>5191</v>
      </c>
    </row>
    <row r="546" spans="1:11" x14ac:dyDescent="0.3">
      <c r="A546" s="327" t="s">
        <v>1642</v>
      </c>
      <c r="B546" t="s">
        <v>1643</v>
      </c>
      <c r="C546" s="327"/>
      <c r="D546" s="327" t="str">
        <f t="shared" si="12"/>
        <v>NACE G - 46.38 Wholesale of other food</v>
      </c>
      <c r="K546" t="s">
        <v>4647</v>
      </c>
    </row>
    <row r="547" spans="1:11" x14ac:dyDescent="0.3">
      <c r="A547" s="327" t="s">
        <v>1644</v>
      </c>
      <c r="B547" t="s">
        <v>1645</v>
      </c>
      <c r="C547" s="327"/>
      <c r="D547" s="327" t="str">
        <f t="shared" si="12"/>
        <v>NACE G - 46.39 Non-specialised wholesale of food, beverages and tobacco</v>
      </c>
      <c r="K547" t="s">
        <v>5192</v>
      </c>
    </row>
    <row r="548" spans="1:11" x14ac:dyDescent="0.3">
      <c r="A548" s="326" t="s">
        <v>1646</v>
      </c>
      <c r="B548" t="s">
        <v>1647</v>
      </c>
      <c r="C548" s="327"/>
      <c r="D548" s="326" t="str">
        <f t="shared" si="12"/>
        <v>NACE G - 46.4 Wholesale of household goods</v>
      </c>
      <c r="K548" t="s">
        <v>5193</v>
      </c>
    </row>
    <row r="549" spans="1:11" x14ac:dyDescent="0.3">
      <c r="A549" s="327" t="s">
        <v>1648</v>
      </c>
      <c r="B549" t="s">
        <v>1649</v>
      </c>
      <c r="C549" s="327"/>
      <c r="D549" s="327" t="str">
        <f t="shared" si="12"/>
        <v>NACE G - 46.41 Wholesale of textiles</v>
      </c>
      <c r="K549" t="s">
        <v>5194</v>
      </c>
    </row>
    <row r="550" spans="1:11" x14ac:dyDescent="0.3">
      <c r="A550" s="327" t="s">
        <v>1650</v>
      </c>
      <c r="B550" t="s">
        <v>1651</v>
      </c>
      <c r="C550" s="327"/>
      <c r="D550" s="327" t="str">
        <f t="shared" si="12"/>
        <v>NACE G - 46.42 Wholesale of clothing and footwear</v>
      </c>
      <c r="K550" t="s">
        <v>5195</v>
      </c>
    </row>
    <row r="551" spans="1:11" x14ac:dyDescent="0.3">
      <c r="A551" s="327" t="s">
        <v>1652</v>
      </c>
      <c r="B551" t="s">
        <v>1653</v>
      </c>
      <c r="C551" s="327"/>
      <c r="D551" s="327" t="str">
        <f t="shared" si="12"/>
        <v>NACE G - 46.43 Wholesale of electrical household appliances</v>
      </c>
      <c r="K551" t="s">
        <v>5196</v>
      </c>
    </row>
    <row r="552" spans="1:11" x14ac:dyDescent="0.3">
      <c r="A552" s="327" t="s">
        <v>1654</v>
      </c>
      <c r="B552" t="s">
        <v>1655</v>
      </c>
      <c r="C552" s="327"/>
      <c r="D552" s="327" t="str">
        <f t="shared" si="12"/>
        <v>NACE G - 46.44 Wholesale of china and glassware and cleaning materials</v>
      </c>
      <c r="K552" t="s">
        <v>5197</v>
      </c>
    </row>
    <row r="553" spans="1:11" x14ac:dyDescent="0.3">
      <c r="A553" s="327" t="s">
        <v>1656</v>
      </c>
      <c r="B553" t="s">
        <v>1657</v>
      </c>
      <c r="C553" s="327"/>
      <c r="D553" s="327" t="str">
        <f t="shared" si="12"/>
        <v>NACE G - 46.45 Wholesale of perfume and cosmetics</v>
      </c>
      <c r="K553" t="s">
        <v>5198</v>
      </c>
    </row>
    <row r="554" spans="1:11" x14ac:dyDescent="0.3">
      <c r="A554" s="327" t="s">
        <v>1658</v>
      </c>
      <c r="B554" t="s">
        <v>1659</v>
      </c>
      <c r="C554" s="327"/>
      <c r="D554" s="327" t="str">
        <f t="shared" si="12"/>
        <v>NACE G - 46.46 Wholesale of pharmaceutical and medical goods</v>
      </c>
      <c r="K554" t="s">
        <v>5199</v>
      </c>
    </row>
    <row r="555" spans="1:11" x14ac:dyDescent="0.3">
      <c r="A555" s="327" t="s">
        <v>1660</v>
      </c>
      <c r="B555" t="s">
        <v>1661</v>
      </c>
      <c r="C555" s="327"/>
      <c r="D555" s="327" t="str">
        <f t="shared" si="12"/>
        <v>NACE G - 46.47 Wholesale of household, office and shop furniture, carpets and lighting equipment</v>
      </c>
      <c r="K555" t="s">
        <v>5200</v>
      </c>
    </row>
    <row r="556" spans="1:11" x14ac:dyDescent="0.3">
      <c r="A556" s="327" t="s">
        <v>1662</v>
      </c>
      <c r="B556" t="s">
        <v>1663</v>
      </c>
      <c r="C556" s="327"/>
      <c r="D556" s="327" t="str">
        <f t="shared" si="12"/>
        <v>NACE G - 46.48 Wholesale of watches and jewellery</v>
      </c>
      <c r="K556" t="s">
        <v>5201</v>
      </c>
    </row>
    <row r="557" spans="1:11" x14ac:dyDescent="0.3">
      <c r="A557" s="327" t="s">
        <v>1664</v>
      </c>
      <c r="B557" t="s">
        <v>1665</v>
      </c>
      <c r="C557" s="327"/>
      <c r="D557" s="327" t="str">
        <f t="shared" si="12"/>
        <v>NACE G - 46.49 Wholesale of other household goods</v>
      </c>
      <c r="K557" t="s">
        <v>5202</v>
      </c>
    </row>
    <row r="558" spans="1:11" x14ac:dyDescent="0.3">
      <c r="A558" s="326" t="s">
        <v>1666</v>
      </c>
      <c r="B558" t="s">
        <v>1667</v>
      </c>
      <c r="C558" s="327"/>
      <c r="D558" s="326" t="str">
        <f t="shared" si="12"/>
        <v>NACE G - 46.5 Wholesale of information and communication equipment</v>
      </c>
      <c r="K558" t="s">
        <v>5203</v>
      </c>
    </row>
    <row r="559" spans="1:11" x14ac:dyDescent="0.3">
      <c r="A559" s="327" t="s">
        <v>1668</v>
      </c>
      <c r="B559" t="s">
        <v>1669</v>
      </c>
      <c r="C559" s="327"/>
      <c r="D559" s="327" t="str">
        <f t="shared" si="12"/>
        <v>NACE G - 46.50 Wholesale of information and communication equipment</v>
      </c>
      <c r="K559" t="s">
        <v>5204</v>
      </c>
    </row>
    <row r="560" spans="1:11" x14ac:dyDescent="0.3">
      <c r="A560" s="326" t="s">
        <v>1670</v>
      </c>
      <c r="B560" t="s">
        <v>1671</v>
      </c>
      <c r="C560" s="327"/>
      <c r="D560" s="326" t="str">
        <f t="shared" si="12"/>
        <v>NACE G - 46.6 Wholesale of other machinery, equipment and supplies</v>
      </c>
      <c r="K560" t="s">
        <v>5205</v>
      </c>
    </row>
    <row r="561" spans="1:11" x14ac:dyDescent="0.3">
      <c r="A561" s="327" t="s">
        <v>1672</v>
      </c>
      <c r="B561" t="s">
        <v>1673</v>
      </c>
      <c r="C561" s="327"/>
      <c r="D561" s="327" t="str">
        <f t="shared" si="12"/>
        <v>NACE G - 46.61 Wholesale of agricultural machinery, equipment and supplies</v>
      </c>
      <c r="K561" t="s">
        <v>5206</v>
      </c>
    </row>
    <row r="562" spans="1:11" x14ac:dyDescent="0.3">
      <c r="A562" s="327" t="s">
        <v>1674</v>
      </c>
      <c r="B562" t="s">
        <v>1675</v>
      </c>
      <c r="C562" s="327"/>
      <c r="D562" s="327" t="str">
        <f t="shared" si="12"/>
        <v>NACE G - 46.62 Wholesale of machine tools</v>
      </c>
      <c r="K562" t="s">
        <v>5207</v>
      </c>
    </row>
    <row r="563" spans="1:11" x14ac:dyDescent="0.3">
      <c r="A563" s="327" t="s">
        <v>1676</v>
      </c>
      <c r="B563" t="s">
        <v>1677</v>
      </c>
      <c r="C563" s="327"/>
      <c r="D563" s="327" t="str">
        <f t="shared" si="12"/>
        <v>NACE G - 46.63 Wholesale of mining, construction and civil engineering machinery</v>
      </c>
      <c r="K563" t="s">
        <v>5208</v>
      </c>
    </row>
    <row r="564" spans="1:11" x14ac:dyDescent="0.3">
      <c r="A564" s="327" t="s">
        <v>1678</v>
      </c>
      <c r="B564" t="s">
        <v>1679</v>
      </c>
      <c r="C564" s="327"/>
      <c r="D564" s="327" t="str">
        <f t="shared" si="12"/>
        <v>NACE G - 46.64 Wholesale of other machinery and equipment</v>
      </c>
      <c r="K564" t="s">
        <v>5209</v>
      </c>
    </row>
    <row r="565" spans="1:11" x14ac:dyDescent="0.3">
      <c r="A565" s="326" t="s">
        <v>1680</v>
      </c>
      <c r="B565" t="s">
        <v>1681</v>
      </c>
      <c r="C565" s="327"/>
      <c r="D565" s="326" t="str">
        <f t="shared" si="12"/>
        <v>NACE G - 46.7 Wholesale of motor vehicles, motorcycles and related parts and accessories</v>
      </c>
      <c r="K565" t="s">
        <v>5210</v>
      </c>
    </row>
    <row r="566" spans="1:11" x14ac:dyDescent="0.3">
      <c r="A566" s="327" t="s">
        <v>1682</v>
      </c>
      <c r="B566" t="s">
        <v>1683</v>
      </c>
      <c r="C566" s="327"/>
      <c r="D566" s="327" t="str">
        <f t="shared" si="12"/>
        <v>NACE G - 46.71 Wholesale of motor vehicles</v>
      </c>
      <c r="K566" t="s">
        <v>5211</v>
      </c>
    </row>
    <row r="567" spans="1:11" x14ac:dyDescent="0.3">
      <c r="A567" s="327" t="s">
        <v>1684</v>
      </c>
      <c r="B567" t="s">
        <v>1685</v>
      </c>
      <c r="C567" s="327"/>
      <c r="D567" s="327" t="str">
        <f t="shared" si="12"/>
        <v>NACE G - 46.72 Wholesale of motor vehicle parts and accessories</v>
      </c>
      <c r="K567" t="s">
        <v>5212</v>
      </c>
    </row>
    <row r="568" spans="1:11" x14ac:dyDescent="0.3">
      <c r="A568" s="327" t="s">
        <v>1686</v>
      </c>
      <c r="B568" t="s">
        <v>1687</v>
      </c>
      <c r="C568" s="327"/>
      <c r="D568" s="327" t="str">
        <f t="shared" si="12"/>
        <v>NACE G - 46.73 Wholesale of motorcycles, motorcycle parts and accessories</v>
      </c>
      <c r="K568" t="s">
        <v>5213</v>
      </c>
    </row>
    <row r="569" spans="1:11" x14ac:dyDescent="0.3">
      <c r="A569" s="326" t="s">
        <v>1688</v>
      </c>
      <c r="B569" t="s">
        <v>1689</v>
      </c>
      <c r="C569" s="327"/>
      <c r="D569" s="326" t="str">
        <f t="shared" si="12"/>
        <v>NACE G - 46.8 Other specialised wholesale</v>
      </c>
      <c r="K569" t="s">
        <v>5214</v>
      </c>
    </row>
    <row r="570" spans="1:11" x14ac:dyDescent="0.3">
      <c r="A570" s="327" t="s">
        <v>1690</v>
      </c>
      <c r="B570" t="s">
        <v>1691</v>
      </c>
      <c r="C570" s="327"/>
      <c r="D570" s="327" t="str">
        <f t="shared" si="12"/>
        <v>NACE G - 46.81 Wholesale of solid, liquid and gaseous fuels and related products</v>
      </c>
      <c r="K570" t="s">
        <v>5215</v>
      </c>
    </row>
    <row r="571" spans="1:11" x14ac:dyDescent="0.3">
      <c r="A571" s="327" t="s">
        <v>1692</v>
      </c>
      <c r="B571" t="s">
        <v>1693</v>
      </c>
      <c r="C571" s="327"/>
      <c r="D571" s="327" t="str">
        <f t="shared" si="12"/>
        <v>NACE G - 46.82 Wholesale of metals and metal ores</v>
      </c>
      <c r="K571" t="s">
        <v>5216</v>
      </c>
    </row>
    <row r="572" spans="1:11" x14ac:dyDescent="0.3">
      <c r="A572" s="327" t="s">
        <v>1694</v>
      </c>
      <c r="B572" t="s">
        <v>1695</v>
      </c>
      <c r="C572" s="327"/>
      <c r="D572" s="327" t="str">
        <f t="shared" si="12"/>
        <v>NACE G - 46.83 Wholesale of wood, construction materials and sanitary equipment</v>
      </c>
      <c r="K572" t="s">
        <v>5217</v>
      </c>
    </row>
    <row r="573" spans="1:11" x14ac:dyDescent="0.3">
      <c r="A573" s="327" t="s">
        <v>1696</v>
      </c>
      <c r="B573" t="s">
        <v>1697</v>
      </c>
      <c r="C573" s="327"/>
      <c r="D573" s="327" t="str">
        <f t="shared" si="12"/>
        <v>NACE G - 46.84 Wholesale of hardware, plumbing and heating equipment and supplies</v>
      </c>
      <c r="K573" t="s">
        <v>5218</v>
      </c>
    </row>
    <row r="574" spans="1:11" x14ac:dyDescent="0.3">
      <c r="A574" s="327" t="s">
        <v>1698</v>
      </c>
      <c r="B574" t="s">
        <v>1699</v>
      </c>
      <c r="C574" s="327"/>
      <c r="D574" s="327" t="str">
        <f t="shared" si="12"/>
        <v>NACE G - 46.85 Wholesale of chemical products</v>
      </c>
      <c r="K574" t="s">
        <v>5219</v>
      </c>
    </row>
    <row r="575" spans="1:11" x14ac:dyDescent="0.3">
      <c r="A575" s="327" t="s">
        <v>1700</v>
      </c>
      <c r="B575" t="s">
        <v>1701</v>
      </c>
      <c r="C575" s="327"/>
      <c r="D575" s="327" t="str">
        <f t="shared" si="12"/>
        <v>NACE G - 46.86 Wholesale of other intermediate products</v>
      </c>
      <c r="K575" t="s">
        <v>5220</v>
      </c>
    </row>
    <row r="576" spans="1:11" x14ac:dyDescent="0.3">
      <c r="A576" s="327" t="s">
        <v>1702</v>
      </c>
      <c r="B576" t="s">
        <v>1703</v>
      </c>
      <c r="C576" s="327"/>
      <c r="D576" s="327" t="str">
        <f t="shared" si="12"/>
        <v>NACE G - 46.87 Wholesale of waste and scrap</v>
      </c>
      <c r="K576" t="s">
        <v>5221</v>
      </c>
    </row>
    <row r="577" spans="1:11" x14ac:dyDescent="0.3">
      <c r="A577" s="327" t="s">
        <v>1704</v>
      </c>
      <c r="B577" t="s">
        <v>1705</v>
      </c>
      <c r="C577" s="327"/>
      <c r="D577" s="327" t="str">
        <f t="shared" si="12"/>
        <v>NACE G - 46.89 Other specialised wholesale n.e.c.</v>
      </c>
      <c r="K577" t="s">
        <v>5222</v>
      </c>
    </row>
    <row r="578" spans="1:11" x14ac:dyDescent="0.3">
      <c r="A578" s="326" t="s">
        <v>1706</v>
      </c>
      <c r="B578" t="s">
        <v>1707</v>
      </c>
      <c r="C578" s="327"/>
      <c r="D578" s="326" t="str">
        <f t="shared" ref="D578:D641" si="13">_xlfn.CONCAT("NACE ", A578)</f>
        <v>NACE G - 46.9 Non-specialised wholesale trade</v>
      </c>
      <c r="K578" t="s">
        <v>4648</v>
      </c>
    </row>
    <row r="579" spans="1:11" x14ac:dyDescent="0.3">
      <c r="A579" s="327" t="s">
        <v>1708</v>
      </c>
      <c r="B579" t="s">
        <v>1709</v>
      </c>
      <c r="C579" s="327"/>
      <c r="D579" s="327" t="str">
        <f t="shared" si="13"/>
        <v>NACE G - 46.90 Non-specialised wholesale trade</v>
      </c>
      <c r="K579" t="s">
        <v>5223</v>
      </c>
    </row>
    <row r="580" spans="1:11" x14ac:dyDescent="0.3">
      <c r="A580" s="323" t="s">
        <v>1710</v>
      </c>
      <c r="B580" t="s">
        <v>1711</v>
      </c>
      <c r="C580" s="327"/>
      <c r="D580" s="323" t="str">
        <f t="shared" si="13"/>
        <v>NACE G - 47 Retail trade</v>
      </c>
      <c r="K580" t="s">
        <v>5224</v>
      </c>
    </row>
    <row r="581" spans="1:11" x14ac:dyDescent="0.3">
      <c r="A581" s="326" t="s">
        <v>1712</v>
      </c>
      <c r="B581" t="s">
        <v>1713</v>
      </c>
      <c r="C581" s="327"/>
      <c r="D581" s="326" t="str">
        <f t="shared" si="13"/>
        <v>NACE G - 47.1 Non-specialised retail sale</v>
      </c>
      <c r="K581" t="s">
        <v>5225</v>
      </c>
    </row>
    <row r="582" spans="1:11" x14ac:dyDescent="0.3">
      <c r="A582" s="327" t="s">
        <v>1714</v>
      </c>
      <c r="B582" t="s">
        <v>1715</v>
      </c>
      <c r="C582" s="327"/>
      <c r="D582" s="327" t="str">
        <f t="shared" si="13"/>
        <v>NACE G - 47.11 Non-specialised retail sale of predominately food, beverages or tobacco</v>
      </c>
      <c r="K582" t="s">
        <v>5226</v>
      </c>
    </row>
    <row r="583" spans="1:11" x14ac:dyDescent="0.3">
      <c r="A583" s="327" t="s">
        <v>1716</v>
      </c>
      <c r="B583" t="s">
        <v>1717</v>
      </c>
      <c r="C583" s="327"/>
      <c r="D583" s="327" t="str">
        <f t="shared" si="13"/>
        <v>NACE G - 47.12 Other non-specialised retail sale</v>
      </c>
      <c r="K583" t="s">
        <v>5227</v>
      </c>
    </row>
    <row r="584" spans="1:11" x14ac:dyDescent="0.3">
      <c r="A584" s="326" t="s">
        <v>1718</v>
      </c>
      <c r="B584" t="s">
        <v>1719</v>
      </c>
      <c r="C584" s="327"/>
      <c r="D584" s="326" t="str">
        <f t="shared" si="13"/>
        <v>NACE G - 47.2 Retail sale of food, beverages and tobacco</v>
      </c>
      <c r="K584" t="s">
        <v>5228</v>
      </c>
    </row>
    <row r="585" spans="1:11" x14ac:dyDescent="0.3">
      <c r="A585" s="327" t="s">
        <v>1720</v>
      </c>
      <c r="B585" t="s">
        <v>1721</v>
      </c>
      <c r="C585" s="327"/>
      <c r="D585" s="327" t="str">
        <f t="shared" si="13"/>
        <v>NACE G - 47.21 Retail sale of fruit and vegetables</v>
      </c>
      <c r="K585" t="s">
        <v>5229</v>
      </c>
    </row>
    <row r="586" spans="1:11" x14ac:dyDescent="0.3">
      <c r="A586" s="327" t="s">
        <v>1722</v>
      </c>
      <c r="B586" t="s">
        <v>1723</v>
      </c>
      <c r="C586" s="327"/>
      <c r="D586" s="327" t="str">
        <f t="shared" si="13"/>
        <v>NACE G - 47.22 Retail sale of meat and meat products</v>
      </c>
      <c r="K586" t="s">
        <v>5230</v>
      </c>
    </row>
    <row r="587" spans="1:11" x14ac:dyDescent="0.3">
      <c r="A587" s="327" t="s">
        <v>1724</v>
      </c>
      <c r="B587" t="s">
        <v>1725</v>
      </c>
      <c r="C587" s="327"/>
      <c r="D587" s="327" t="str">
        <f t="shared" si="13"/>
        <v>NACE G - 47.23 Retail sale of fish, crustaceans and molluscs</v>
      </c>
      <c r="K587" t="s">
        <v>5231</v>
      </c>
    </row>
    <row r="588" spans="1:11" x14ac:dyDescent="0.3">
      <c r="A588" s="327" t="s">
        <v>1726</v>
      </c>
      <c r="B588" t="s">
        <v>1727</v>
      </c>
      <c r="C588" s="327"/>
      <c r="D588" s="327" t="str">
        <f t="shared" si="13"/>
        <v>NACE G - 47.24 Retail sale of bread, cake and confectionery</v>
      </c>
      <c r="K588" t="s">
        <v>5232</v>
      </c>
    </row>
    <row r="589" spans="1:11" x14ac:dyDescent="0.3">
      <c r="A589" s="327" t="s">
        <v>1728</v>
      </c>
      <c r="B589" t="s">
        <v>1729</v>
      </c>
      <c r="C589" s="327"/>
      <c r="D589" s="327" t="str">
        <f t="shared" si="13"/>
        <v>NACE G - 47.25 Retail sale of beverages</v>
      </c>
      <c r="K589" t="s">
        <v>5233</v>
      </c>
    </row>
    <row r="590" spans="1:11" x14ac:dyDescent="0.3">
      <c r="A590" s="327" t="s">
        <v>1730</v>
      </c>
      <c r="B590" t="s">
        <v>1731</v>
      </c>
      <c r="C590" s="327"/>
      <c r="D590" s="327" t="str">
        <f t="shared" si="13"/>
        <v>NACE G - 47.26 Retail sale of tobacco products</v>
      </c>
      <c r="K590" t="s">
        <v>5234</v>
      </c>
    </row>
    <row r="591" spans="1:11" x14ac:dyDescent="0.3">
      <c r="A591" s="327" t="s">
        <v>1732</v>
      </c>
      <c r="B591" t="s">
        <v>1733</v>
      </c>
      <c r="C591" s="327"/>
      <c r="D591" s="327" t="str">
        <f t="shared" si="13"/>
        <v>NACE G - 47.27 Retail sale of other food</v>
      </c>
      <c r="K591" t="s">
        <v>5235</v>
      </c>
    </row>
    <row r="592" spans="1:11" x14ac:dyDescent="0.3">
      <c r="A592" s="326" t="s">
        <v>1734</v>
      </c>
      <c r="B592" t="s">
        <v>1735</v>
      </c>
      <c r="C592" s="327"/>
      <c r="D592" s="326" t="str">
        <f t="shared" si="13"/>
        <v>NACE G - 47.3 Retail sale of automotive fuel</v>
      </c>
      <c r="K592" t="s">
        <v>5236</v>
      </c>
    </row>
    <row r="593" spans="1:11" x14ac:dyDescent="0.3">
      <c r="A593" s="327" t="s">
        <v>1736</v>
      </c>
      <c r="B593" t="s">
        <v>1737</v>
      </c>
      <c r="C593" s="327"/>
      <c r="D593" s="327" t="str">
        <f t="shared" si="13"/>
        <v>NACE G - 47.30 Retail sale of automotive fuel</v>
      </c>
      <c r="K593" t="s">
        <v>5237</v>
      </c>
    </row>
    <row r="594" spans="1:11" x14ac:dyDescent="0.3">
      <c r="A594" s="326" t="s">
        <v>1738</v>
      </c>
      <c r="B594" t="s">
        <v>1739</v>
      </c>
      <c r="C594" s="327"/>
      <c r="D594" s="326" t="str">
        <f t="shared" si="13"/>
        <v>NACE G - 47.4 Retail sale of information and communication equipment</v>
      </c>
      <c r="K594" t="s">
        <v>5238</v>
      </c>
    </row>
    <row r="595" spans="1:11" x14ac:dyDescent="0.3">
      <c r="A595" s="327" t="s">
        <v>1740</v>
      </c>
      <c r="B595" t="s">
        <v>1741</v>
      </c>
      <c r="C595" s="327"/>
      <c r="D595" s="327" t="str">
        <f t="shared" si="13"/>
        <v>NACE G - 47.40 Retail sale of information and communication equipment</v>
      </c>
      <c r="K595" t="s">
        <v>5239</v>
      </c>
    </row>
    <row r="596" spans="1:11" x14ac:dyDescent="0.3">
      <c r="A596" s="326" t="s">
        <v>1742</v>
      </c>
      <c r="B596" t="s">
        <v>1743</v>
      </c>
      <c r="C596" s="327"/>
      <c r="D596" s="326" t="str">
        <f t="shared" si="13"/>
        <v>NACE G - 47.5 Retail sale of other household equipment</v>
      </c>
      <c r="K596" t="s">
        <v>5240</v>
      </c>
    </row>
    <row r="597" spans="1:11" x14ac:dyDescent="0.3">
      <c r="A597" s="327" t="s">
        <v>1744</v>
      </c>
      <c r="B597" t="s">
        <v>1745</v>
      </c>
      <c r="C597" s="327"/>
      <c r="D597" s="327" t="str">
        <f t="shared" si="13"/>
        <v>NACE G - 47.51 Retail sale of textiles</v>
      </c>
      <c r="K597" t="s">
        <v>5241</v>
      </c>
    </row>
    <row r="598" spans="1:11" x14ac:dyDescent="0.3">
      <c r="A598" s="327" t="s">
        <v>1746</v>
      </c>
      <c r="B598" t="s">
        <v>1747</v>
      </c>
      <c r="C598" s="327"/>
      <c r="D598" s="327" t="str">
        <f t="shared" si="13"/>
        <v>NACE G - 47.52 Retail sale of hardware, building materials, paints and glass</v>
      </c>
      <c r="K598" t="s">
        <v>5242</v>
      </c>
    </row>
    <row r="599" spans="1:11" x14ac:dyDescent="0.3">
      <c r="A599" s="327" t="s">
        <v>1748</v>
      </c>
      <c r="B599" t="s">
        <v>1749</v>
      </c>
      <c r="C599" s="327"/>
      <c r="D599" s="327" t="str">
        <f t="shared" si="13"/>
        <v>NACE G - 47.53 Retail sale of carpets, rugs, wall and floor coverings</v>
      </c>
      <c r="K599" t="s">
        <v>5243</v>
      </c>
    </row>
    <row r="600" spans="1:11" x14ac:dyDescent="0.3">
      <c r="A600" s="327" t="s">
        <v>1750</v>
      </c>
      <c r="B600" t="s">
        <v>1751</v>
      </c>
      <c r="C600" s="327"/>
      <c r="D600" s="327" t="str">
        <f t="shared" si="13"/>
        <v>NACE G - 47.54 Retail sale of electrical household appliances</v>
      </c>
      <c r="K600" t="s">
        <v>5244</v>
      </c>
    </row>
    <row r="601" spans="1:11" x14ac:dyDescent="0.3">
      <c r="A601" s="327" t="s">
        <v>1752</v>
      </c>
      <c r="B601" t="s">
        <v>1753</v>
      </c>
      <c r="C601" s="327"/>
      <c r="D601" s="327" t="str">
        <f t="shared" si="13"/>
        <v>NACE G - 47.55 Retail sale of furniture, lighting equipment, tableware and other household goods</v>
      </c>
      <c r="K601" t="s">
        <v>5245</v>
      </c>
    </row>
    <row r="602" spans="1:11" x14ac:dyDescent="0.3">
      <c r="A602" s="326" t="s">
        <v>1754</v>
      </c>
      <c r="B602" t="s">
        <v>1755</v>
      </c>
      <c r="C602" s="327"/>
      <c r="D602" s="326" t="str">
        <f t="shared" si="13"/>
        <v>NACE G - 47.6 Retail sale of cultural and recreation goods</v>
      </c>
      <c r="K602" t="s">
        <v>5246</v>
      </c>
    </row>
    <row r="603" spans="1:11" x14ac:dyDescent="0.3">
      <c r="A603" s="327" t="s">
        <v>1756</v>
      </c>
      <c r="B603" t="s">
        <v>1757</v>
      </c>
      <c r="C603" s="327"/>
      <c r="D603" s="327" t="str">
        <f t="shared" si="13"/>
        <v>NACE G - 47.61 Retail sale of books</v>
      </c>
      <c r="K603" t="s">
        <v>5247</v>
      </c>
    </row>
    <row r="604" spans="1:11" x14ac:dyDescent="0.3">
      <c r="A604" s="327" t="s">
        <v>1758</v>
      </c>
      <c r="B604" t="s">
        <v>1759</v>
      </c>
      <c r="C604" s="327"/>
      <c r="D604" s="327" t="str">
        <f t="shared" si="13"/>
        <v>NACE G - 47.62 Retail sale of newspapers, and other periodical publications and stationery</v>
      </c>
      <c r="K604" t="s">
        <v>4649</v>
      </c>
    </row>
    <row r="605" spans="1:11" x14ac:dyDescent="0.3">
      <c r="A605" s="327" t="s">
        <v>1760</v>
      </c>
      <c r="B605" t="s">
        <v>1761</v>
      </c>
      <c r="C605" s="327"/>
      <c r="D605" s="327" t="str">
        <f t="shared" si="13"/>
        <v>NACE G - 47.63 Retail sale of sporting equipment</v>
      </c>
      <c r="K605" t="s">
        <v>5248</v>
      </c>
    </row>
    <row r="606" spans="1:11" x14ac:dyDescent="0.3">
      <c r="A606" s="327" t="s">
        <v>1762</v>
      </c>
      <c r="B606" t="s">
        <v>1763</v>
      </c>
      <c r="C606" s="327"/>
      <c r="D606" s="327" t="str">
        <f t="shared" si="13"/>
        <v>NACE G - 47.64 Retail sale of games and toys</v>
      </c>
      <c r="K606" t="s">
        <v>5249</v>
      </c>
    </row>
    <row r="607" spans="1:11" x14ac:dyDescent="0.3">
      <c r="A607" s="327" t="s">
        <v>1764</v>
      </c>
      <c r="B607" t="s">
        <v>1765</v>
      </c>
      <c r="C607" s="327"/>
      <c r="D607" s="327" t="str">
        <f t="shared" si="13"/>
        <v>NACE G - 47.69 Retail sale of cultural and recreational goods n.e.c.</v>
      </c>
      <c r="K607" t="s">
        <v>5250</v>
      </c>
    </row>
    <row r="608" spans="1:11" x14ac:dyDescent="0.3">
      <c r="A608" s="326" t="s">
        <v>1766</v>
      </c>
      <c r="B608" t="s">
        <v>1767</v>
      </c>
      <c r="C608" s="327"/>
      <c r="D608" s="326" t="str">
        <f t="shared" si="13"/>
        <v>NACE G - 47.7 Retail sale of other goods, except motor vehicles and motorcycles</v>
      </c>
      <c r="K608" t="s">
        <v>5251</v>
      </c>
    </row>
    <row r="609" spans="1:11" x14ac:dyDescent="0.3">
      <c r="A609" s="327" t="s">
        <v>1768</v>
      </c>
      <c r="B609" t="s">
        <v>1769</v>
      </c>
      <c r="C609" s="327"/>
      <c r="D609" s="327" t="str">
        <f t="shared" si="13"/>
        <v>NACE G - 47.71 Retail sale of clothing</v>
      </c>
      <c r="K609" t="s">
        <v>5252</v>
      </c>
    </row>
    <row r="610" spans="1:11" x14ac:dyDescent="0.3">
      <c r="A610" s="327" t="s">
        <v>1770</v>
      </c>
      <c r="B610" t="s">
        <v>1771</v>
      </c>
      <c r="C610" s="327"/>
      <c r="D610" s="327" t="str">
        <f t="shared" si="13"/>
        <v>NACE G - 47.72 Retail sale of footwear and leather goods</v>
      </c>
      <c r="K610" t="s">
        <v>5253</v>
      </c>
    </row>
    <row r="611" spans="1:11" x14ac:dyDescent="0.3">
      <c r="A611" s="327" t="s">
        <v>1772</v>
      </c>
      <c r="B611" t="s">
        <v>1773</v>
      </c>
      <c r="C611" s="327"/>
      <c r="D611" s="327" t="str">
        <f t="shared" si="13"/>
        <v>NACE G - 47.73 Retail sale of pharmaceutical products</v>
      </c>
      <c r="K611" t="s">
        <v>5254</v>
      </c>
    </row>
    <row r="612" spans="1:11" x14ac:dyDescent="0.3">
      <c r="A612" s="327" t="s">
        <v>1774</v>
      </c>
      <c r="B612" t="s">
        <v>1775</v>
      </c>
      <c r="C612" s="327"/>
      <c r="D612" s="327" t="str">
        <f t="shared" si="13"/>
        <v>NACE G - 47.74 Retail sale of medical and orthopaedic goods</v>
      </c>
      <c r="K612" t="s">
        <v>5255</v>
      </c>
    </row>
    <row r="613" spans="1:11" x14ac:dyDescent="0.3">
      <c r="A613" s="327" t="s">
        <v>1776</v>
      </c>
      <c r="B613" t="s">
        <v>1777</v>
      </c>
      <c r="C613" s="327"/>
      <c r="D613" s="327" t="str">
        <f t="shared" si="13"/>
        <v>NACE G - 47.75 Retail sale of cosmetic and toilet articles</v>
      </c>
      <c r="K613" t="s">
        <v>5256</v>
      </c>
    </row>
    <row r="614" spans="1:11" x14ac:dyDescent="0.3">
      <c r="A614" s="327" t="s">
        <v>1778</v>
      </c>
      <c r="B614" t="s">
        <v>1779</v>
      </c>
      <c r="C614" s="327"/>
      <c r="D614" s="327" t="str">
        <f t="shared" si="13"/>
        <v>NACE G - 47.76 Retail sale of flowers, plants, fertilisers, pets and pet food</v>
      </c>
      <c r="K614" t="s">
        <v>5257</v>
      </c>
    </row>
    <row r="615" spans="1:11" x14ac:dyDescent="0.3">
      <c r="A615" s="327" t="s">
        <v>1780</v>
      </c>
      <c r="B615" t="s">
        <v>1781</v>
      </c>
      <c r="C615" s="327"/>
      <c r="D615" s="327" t="str">
        <f t="shared" si="13"/>
        <v>NACE G - 47.77 Retail sale of watches and jewellery</v>
      </c>
      <c r="K615" t="s">
        <v>5258</v>
      </c>
    </row>
    <row r="616" spans="1:11" x14ac:dyDescent="0.3">
      <c r="A616" s="327" t="s">
        <v>1782</v>
      </c>
      <c r="B616" t="s">
        <v>1783</v>
      </c>
      <c r="C616" s="327"/>
      <c r="D616" s="327" t="str">
        <f t="shared" si="13"/>
        <v>NACE G - 47.78 Retail sale of other new goods</v>
      </c>
      <c r="K616" t="s">
        <v>5259</v>
      </c>
    </row>
    <row r="617" spans="1:11" x14ac:dyDescent="0.3">
      <c r="A617" s="327" t="s">
        <v>1784</v>
      </c>
      <c r="B617" t="s">
        <v>1785</v>
      </c>
      <c r="C617" s="327"/>
      <c r="D617" s="327" t="str">
        <f t="shared" si="13"/>
        <v>NACE G - 47.79 Retail sale of second-hand goods</v>
      </c>
      <c r="K617" t="s">
        <v>5260</v>
      </c>
    </row>
    <row r="618" spans="1:11" x14ac:dyDescent="0.3">
      <c r="A618" s="326" t="s">
        <v>1786</v>
      </c>
      <c r="B618" t="s">
        <v>1787</v>
      </c>
      <c r="C618" s="327"/>
      <c r="D618" s="326" t="str">
        <f t="shared" si="13"/>
        <v>NACE G - 47.8 Retail sale of motor vehicles, motorcycles and related parts and accessories</v>
      </c>
      <c r="K618" t="s">
        <v>5261</v>
      </c>
    </row>
    <row r="619" spans="1:11" x14ac:dyDescent="0.3">
      <c r="A619" s="327" t="s">
        <v>1788</v>
      </c>
      <c r="B619" t="s">
        <v>1789</v>
      </c>
      <c r="C619" s="327"/>
      <c r="D619" s="327" t="str">
        <f t="shared" si="13"/>
        <v>NACE G - 47.81 Retail sale of motor vehicles</v>
      </c>
      <c r="K619" t="s">
        <v>5262</v>
      </c>
    </row>
    <row r="620" spans="1:11" x14ac:dyDescent="0.3">
      <c r="A620" s="327" t="s">
        <v>1790</v>
      </c>
      <c r="B620" t="s">
        <v>1791</v>
      </c>
      <c r="C620" s="327"/>
      <c r="D620" s="327" t="str">
        <f t="shared" si="13"/>
        <v>NACE G - 47.82 Retail sale of motor vehicle parts and accessories</v>
      </c>
      <c r="K620" t="s">
        <v>5263</v>
      </c>
    </row>
    <row r="621" spans="1:11" x14ac:dyDescent="0.3">
      <c r="A621" s="327" t="s">
        <v>1792</v>
      </c>
      <c r="B621" t="s">
        <v>1793</v>
      </c>
      <c r="C621" s="327"/>
      <c r="D621" s="327" t="str">
        <f t="shared" si="13"/>
        <v>NACE G - 47.83 Retail sale of motorcycles, motorcycle parts and accessories</v>
      </c>
      <c r="K621" t="s">
        <v>5264</v>
      </c>
    </row>
    <row r="622" spans="1:11" x14ac:dyDescent="0.3">
      <c r="A622" s="326" t="s">
        <v>1794</v>
      </c>
      <c r="B622" t="s">
        <v>1795</v>
      </c>
      <c r="C622" s="327"/>
      <c r="D622" s="326" t="str">
        <f t="shared" si="13"/>
        <v>NACE G - 47.9 Intermediation service activities for retail sale</v>
      </c>
      <c r="K622" t="s">
        <v>5265</v>
      </c>
    </row>
    <row r="623" spans="1:11" x14ac:dyDescent="0.3">
      <c r="A623" s="327" t="s">
        <v>1796</v>
      </c>
      <c r="B623" t="s">
        <v>1797</v>
      </c>
      <c r="C623" s="327"/>
      <c r="D623" s="327" t="str">
        <f t="shared" si="13"/>
        <v>NACE G - 47.91 Intermediation service activities for non-specialised retail sale</v>
      </c>
      <c r="K623" t="s">
        <v>5266</v>
      </c>
    </row>
    <row r="624" spans="1:11" x14ac:dyDescent="0.3">
      <c r="A624" s="327" t="s">
        <v>1798</v>
      </c>
      <c r="B624" t="s">
        <v>1799</v>
      </c>
      <c r="C624" s="327"/>
      <c r="D624" s="327" t="str">
        <f t="shared" si="13"/>
        <v>NACE G - 47.92 Intermediation service activities for specialised retail sale</v>
      </c>
      <c r="K624" t="s">
        <v>5267</v>
      </c>
    </row>
    <row r="625" spans="1:11" x14ac:dyDescent="0.3">
      <c r="A625" s="324" t="s">
        <v>1800</v>
      </c>
      <c r="B625" t="s">
        <v>1801</v>
      </c>
      <c r="C625" s="327"/>
      <c r="D625" s="324" t="str">
        <f t="shared" si="13"/>
        <v>NACE H - TRANSPORTATION AND STORAGE</v>
      </c>
      <c r="K625" t="s">
        <v>5268</v>
      </c>
    </row>
    <row r="626" spans="1:11" x14ac:dyDescent="0.3">
      <c r="A626" s="323" t="s">
        <v>1802</v>
      </c>
      <c r="B626" t="s">
        <v>1803</v>
      </c>
      <c r="C626" s="327"/>
      <c r="D626" s="323" t="str">
        <f t="shared" si="13"/>
        <v>NACE H - 49 Land transport and transport via pipelines</v>
      </c>
      <c r="K626" t="s">
        <v>5269</v>
      </c>
    </row>
    <row r="627" spans="1:11" x14ac:dyDescent="0.3">
      <c r="A627" s="326" t="s">
        <v>1804</v>
      </c>
      <c r="B627" t="s">
        <v>1805</v>
      </c>
      <c r="C627" s="327"/>
      <c r="D627" s="326" t="str">
        <f t="shared" si="13"/>
        <v>NACE H - 49.1 Passenger rail transport</v>
      </c>
      <c r="K627" t="s">
        <v>5270</v>
      </c>
    </row>
    <row r="628" spans="1:11" x14ac:dyDescent="0.3">
      <c r="A628" s="327" t="s">
        <v>1806</v>
      </c>
      <c r="B628" t="s">
        <v>1807</v>
      </c>
      <c r="C628" s="327"/>
      <c r="D628" s="327" t="str">
        <f t="shared" si="13"/>
        <v>NACE H - 49.11 Passenger heavy rail transport</v>
      </c>
      <c r="K628" t="s">
        <v>5271</v>
      </c>
    </row>
    <row r="629" spans="1:11" x14ac:dyDescent="0.3">
      <c r="A629" s="327" t="s">
        <v>1808</v>
      </c>
      <c r="B629" t="s">
        <v>1809</v>
      </c>
      <c r="C629" s="327"/>
      <c r="D629" s="327" t="str">
        <f t="shared" si="13"/>
        <v>NACE H - 49.12 Other passenger rail transport</v>
      </c>
      <c r="K629" t="s">
        <v>5272</v>
      </c>
    </row>
    <row r="630" spans="1:11" x14ac:dyDescent="0.3">
      <c r="A630" s="326" t="s">
        <v>1810</v>
      </c>
      <c r="B630" t="s">
        <v>1811</v>
      </c>
      <c r="C630" s="327"/>
      <c r="D630" s="326" t="str">
        <f t="shared" si="13"/>
        <v>NACE H - 49.2 Freight rail transport</v>
      </c>
      <c r="K630" t="s">
        <v>5273</v>
      </c>
    </row>
    <row r="631" spans="1:11" x14ac:dyDescent="0.3">
      <c r="A631" s="327" t="s">
        <v>1812</v>
      </c>
      <c r="B631" t="s">
        <v>1813</v>
      </c>
      <c r="C631" s="327"/>
      <c r="D631" s="327" t="str">
        <f t="shared" si="13"/>
        <v>NACE H - 49.20 Freight rail transport</v>
      </c>
      <c r="K631" t="s">
        <v>5274</v>
      </c>
    </row>
    <row r="632" spans="1:11" x14ac:dyDescent="0.3">
      <c r="A632" s="326" t="s">
        <v>1814</v>
      </c>
      <c r="B632" t="s">
        <v>1815</v>
      </c>
      <c r="C632" s="327"/>
      <c r="D632" s="326" t="str">
        <f t="shared" si="13"/>
        <v>NACE H - 49.3 Other passenger land transport</v>
      </c>
      <c r="K632" t="s">
        <v>5275</v>
      </c>
    </row>
    <row r="633" spans="1:11" x14ac:dyDescent="0.3">
      <c r="A633" s="327" t="s">
        <v>1816</v>
      </c>
      <c r="B633" t="s">
        <v>1817</v>
      </c>
      <c r="C633" s="327"/>
      <c r="D633" s="327" t="str">
        <f t="shared" si="13"/>
        <v>NACE H - 49.31 Scheduled passenger transport by road</v>
      </c>
      <c r="K633" t="s">
        <v>5276</v>
      </c>
    </row>
    <row r="634" spans="1:11" x14ac:dyDescent="0.3">
      <c r="A634" s="327" t="s">
        <v>1818</v>
      </c>
      <c r="B634" t="s">
        <v>1819</v>
      </c>
      <c r="C634" s="327"/>
      <c r="D634" s="327" t="str">
        <f t="shared" si="13"/>
        <v>NACE H - 49.32 Non-scheduled passenger transport by road</v>
      </c>
      <c r="K634" t="s">
        <v>5277</v>
      </c>
    </row>
    <row r="635" spans="1:11" x14ac:dyDescent="0.3">
      <c r="A635" s="327" t="s">
        <v>1820</v>
      </c>
      <c r="B635" t="s">
        <v>1821</v>
      </c>
      <c r="C635" s="327"/>
      <c r="D635" s="327" t="str">
        <f t="shared" si="13"/>
        <v>NACE H - 49.33 On-demand passenger transport service activities by vehicle with driver</v>
      </c>
      <c r="K635" t="s">
        <v>5278</v>
      </c>
    </row>
    <row r="636" spans="1:11" x14ac:dyDescent="0.3">
      <c r="A636" s="327" t="s">
        <v>1822</v>
      </c>
      <c r="B636" t="s">
        <v>1823</v>
      </c>
      <c r="C636" s="327"/>
      <c r="D636" s="327" t="str">
        <f t="shared" si="13"/>
        <v>NACE H - 49.34 Passenger transport by cableways and ski lifts</v>
      </c>
      <c r="K636" t="s">
        <v>5279</v>
      </c>
    </row>
    <row r="637" spans="1:11" x14ac:dyDescent="0.3">
      <c r="A637" s="327" t="s">
        <v>1824</v>
      </c>
      <c r="B637" t="s">
        <v>1825</v>
      </c>
      <c r="C637" s="327"/>
      <c r="D637" s="327" t="str">
        <f t="shared" si="13"/>
        <v>NACE H - 49.39 Other passenger land transport n.e.c.</v>
      </c>
      <c r="K637" t="s">
        <v>5280</v>
      </c>
    </row>
    <row r="638" spans="1:11" x14ac:dyDescent="0.3">
      <c r="A638" s="326" t="s">
        <v>1826</v>
      </c>
      <c r="B638" t="s">
        <v>1827</v>
      </c>
      <c r="C638" s="327"/>
      <c r="D638" s="326" t="str">
        <f t="shared" si="13"/>
        <v>NACE H - 49.4 Freight transport by road and removal services</v>
      </c>
      <c r="K638" t="s">
        <v>5281</v>
      </c>
    </row>
    <row r="639" spans="1:11" x14ac:dyDescent="0.3">
      <c r="A639" s="327" t="s">
        <v>1828</v>
      </c>
      <c r="B639" t="s">
        <v>1829</v>
      </c>
      <c r="C639" s="327"/>
      <c r="D639" s="327" t="str">
        <f t="shared" si="13"/>
        <v>NACE H - 49.41 Freight transport by road</v>
      </c>
      <c r="K639" t="s">
        <v>5282</v>
      </c>
    </row>
    <row r="640" spans="1:11" x14ac:dyDescent="0.3">
      <c r="A640" s="327" t="s">
        <v>1830</v>
      </c>
      <c r="B640" t="s">
        <v>1831</v>
      </c>
      <c r="C640" s="327"/>
      <c r="D640" s="327" t="str">
        <f t="shared" si="13"/>
        <v>NACE H - 49.42 Removal services</v>
      </c>
      <c r="K640" t="s">
        <v>5283</v>
      </c>
    </row>
    <row r="641" spans="1:11" x14ac:dyDescent="0.3">
      <c r="A641" s="326" t="s">
        <v>1832</v>
      </c>
      <c r="B641" t="s">
        <v>1833</v>
      </c>
      <c r="C641" s="327"/>
      <c r="D641" s="326" t="str">
        <f t="shared" si="13"/>
        <v>NACE H - 49.5 Transport via pipeline</v>
      </c>
      <c r="K641" t="s">
        <v>5284</v>
      </c>
    </row>
    <row r="642" spans="1:11" x14ac:dyDescent="0.3">
      <c r="A642" s="327" t="s">
        <v>1834</v>
      </c>
      <c r="B642" t="s">
        <v>1835</v>
      </c>
      <c r="C642" s="327"/>
      <c r="D642" s="327" t="str">
        <f t="shared" ref="D642:D705" si="14">_xlfn.CONCAT("NACE ", A642)</f>
        <v>NACE H - 49.50 Transport via pipeline</v>
      </c>
      <c r="K642" t="s">
        <v>5285</v>
      </c>
    </row>
    <row r="643" spans="1:11" x14ac:dyDescent="0.3">
      <c r="A643" s="323" t="s">
        <v>1836</v>
      </c>
      <c r="B643" t="s">
        <v>1837</v>
      </c>
      <c r="C643" s="327"/>
      <c r="D643" s="323" t="str">
        <f t="shared" si="14"/>
        <v>NACE H - 50 Water transport</v>
      </c>
      <c r="K643" t="s">
        <v>5286</v>
      </c>
    </row>
    <row r="644" spans="1:11" x14ac:dyDescent="0.3">
      <c r="A644" s="326" t="s">
        <v>1838</v>
      </c>
      <c r="B644" t="s">
        <v>1839</v>
      </c>
      <c r="C644" s="327"/>
      <c r="D644" s="326" t="str">
        <f t="shared" si="14"/>
        <v>NACE H - 50.1 Sea and coastal passenger water transport</v>
      </c>
      <c r="K644" t="s">
        <v>5287</v>
      </c>
    </row>
    <row r="645" spans="1:11" x14ac:dyDescent="0.3">
      <c r="A645" s="327" t="s">
        <v>1840</v>
      </c>
      <c r="B645" t="s">
        <v>1841</v>
      </c>
      <c r="C645" s="327"/>
      <c r="D645" s="327" t="str">
        <f t="shared" si="14"/>
        <v>NACE H - 50.10 Sea and coastal passenger water transport</v>
      </c>
      <c r="K645" t="s">
        <v>5288</v>
      </c>
    </row>
    <row r="646" spans="1:11" x14ac:dyDescent="0.3">
      <c r="A646" s="326" t="s">
        <v>1842</v>
      </c>
      <c r="B646" t="s">
        <v>1843</v>
      </c>
      <c r="C646" s="327"/>
      <c r="D646" s="326" t="str">
        <f t="shared" si="14"/>
        <v>NACE H - 50.2 Sea and coastal freight water transport</v>
      </c>
      <c r="K646" t="s">
        <v>4650</v>
      </c>
    </row>
    <row r="647" spans="1:11" x14ac:dyDescent="0.3">
      <c r="A647" s="327" t="s">
        <v>1844</v>
      </c>
      <c r="B647" t="s">
        <v>1845</v>
      </c>
      <c r="C647" s="327"/>
      <c r="D647" s="327" t="str">
        <f t="shared" si="14"/>
        <v>NACE H - 50.20 Sea and coastal freight water transport</v>
      </c>
      <c r="K647" t="s">
        <v>5289</v>
      </c>
    </row>
    <row r="648" spans="1:11" x14ac:dyDescent="0.3">
      <c r="A648" s="326" t="s">
        <v>1846</v>
      </c>
      <c r="B648" t="s">
        <v>1847</v>
      </c>
      <c r="C648" s="327"/>
      <c r="D648" s="326" t="str">
        <f t="shared" si="14"/>
        <v>NACE H - 50.3 Inland passenger water transport</v>
      </c>
      <c r="K648" t="s">
        <v>5290</v>
      </c>
    </row>
    <row r="649" spans="1:11" x14ac:dyDescent="0.3">
      <c r="A649" s="327" t="s">
        <v>1848</v>
      </c>
      <c r="B649" t="s">
        <v>1849</v>
      </c>
      <c r="C649" s="327"/>
      <c r="D649" s="327" t="str">
        <f t="shared" si="14"/>
        <v>NACE H - 50.30 Inland passenger water transport</v>
      </c>
      <c r="K649" t="s">
        <v>5291</v>
      </c>
    </row>
    <row r="650" spans="1:11" x14ac:dyDescent="0.3">
      <c r="A650" s="326" t="s">
        <v>1850</v>
      </c>
      <c r="B650" t="s">
        <v>1851</v>
      </c>
      <c r="C650" s="327"/>
      <c r="D650" s="326" t="str">
        <f t="shared" si="14"/>
        <v>NACE H - 50.4 Inland freight water transport</v>
      </c>
      <c r="K650" t="s">
        <v>5292</v>
      </c>
    </row>
    <row r="651" spans="1:11" x14ac:dyDescent="0.3">
      <c r="A651" s="327" t="s">
        <v>1852</v>
      </c>
      <c r="B651" t="s">
        <v>1853</v>
      </c>
      <c r="C651" s="327"/>
      <c r="D651" s="327" t="str">
        <f t="shared" si="14"/>
        <v>NACE H - 50.40 Inland freight water transport</v>
      </c>
      <c r="K651" t="s">
        <v>5293</v>
      </c>
    </row>
    <row r="652" spans="1:11" x14ac:dyDescent="0.3">
      <c r="A652" s="323" t="s">
        <v>1854</v>
      </c>
      <c r="B652" t="s">
        <v>1855</v>
      </c>
      <c r="C652" s="327"/>
      <c r="D652" s="323" t="str">
        <f t="shared" si="14"/>
        <v>NACE H - 51 Air transport</v>
      </c>
      <c r="K652" t="s">
        <v>5294</v>
      </c>
    </row>
    <row r="653" spans="1:11" x14ac:dyDescent="0.3">
      <c r="A653" s="326" t="s">
        <v>1856</v>
      </c>
      <c r="B653" t="s">
        <v>1857</v>
      </c>
      <c r="C653" s="327"/>
      <c r="D653" s="326" t="str">
        <f t="shared" si="14"/>
        <v>NACE H - 51.1 Passenger air transport</v>
      </c>
      <c r="K653" t="s">
        <v>4651</v>
      </c>
    </row>
    <row r="654" spans="1:11" x14ac:dyDescent="0.3">
      <c r="A654" s="327" t="s">
        <v>1858</v>
      </c>
      <c r="B654" t="s">
        <v>1859</v>
      </c>
      <c r="C654" s="327"/>
      <c r="D654" s="327" t="str">
        <f t="shared" si="14"/>
        <v>NACE H - 51.10 Passenger air transport</v>
      </c>
      <c r="K654" t="s">
        <v>5295</v>
      </c>
    </row>
    <row r="655" spans="1:11" x14ac:dyDescent="0.3">
      <c r="A655" s="326" t="s">
        <v>1860</v>
      </c>
      <c r="B655" t="s">
        <v>1861</v>
      </c>
      <c r="C655" s="327"/>
      <c r="D655" s="326" t="str">
        <f t="shared" si="14"/>
        <v>NACE H - 51.2 Freight air transport and space transport</v>
      </c>
      <c r="K655" t="s">
        <v>5296</v>
      </c>
    </row>
    <row r="656" spans="1:11" x14ac:dyDescent="0.3">
      <c r="A656" s="327" t="s">
        <v>1862</v>
      </c>
      <c r="B656" t="s">
        <v>1863</v>
      </c>
      <c r="C656" s="327"/>
      <c r="D656" s="327" t="str">
        <f t="shared" si="14"/>
        <v>NACE H - 51.21 Freight air transport</v>
      </c>
      <c r="K656" t="s">
        <v>5297</v>
      </c>
    </row>
    <row r="657" spans="1:11" x14ac:dyDescent="0.3">
      <c r="A657" s="327" t="s">
        <v>1864</v>
      </c>
      <c r="B657" t="s">
        <v>1865</v>
      </c>
      <c r="C657" s="327"/>
      <c r="D657" s="327" t="str">
        <f t="shared" si="14"/>
        <v>NACE H - 51.22 Space transport</v>
      </c>
      <c r="K657" t="s">
        <v>5298</v>
      </c>
    </row>
    <row r="658" spans="1:11" x14ac:dyDescent="0.3">
      <c r="A658" s="323" t="s">
        <v>1866</v>
      </c>
      <c r="B658" t="s">
        <v>1867</v>
      </c>
      <c r="C658" s="327"/>
      <c r="D658" s="323" t="str">
        <f t="shared" si="14"/>
        <v>NACE H - 52 Warehousing, storage and support activities for transportation</v>
      </c>
      <c r="K658" t="s">
        <v>5299</v>
      </c>
    </row>
    <row r="659" spans="1:11" x14ac:dyDescent="0.3">
      <c r="A659" s="326" t="s">
        <v>1868</v>
      </c>
      <c r="B659" t="s">
        <v>1869</v>
      </c>
      <c r="C659" s="327"/>
      <c r="D659" s="326" t="str">
        <f t="shared" si="14"/>
        <v>NACE H - 52.1 Warehousing and storage</v>
      </c>
      <c r="K659" t="s">
        <v>5300</v>
      </c>
    </row>
    <row r="660" spans="1:11" x14ac:dyDescent="0.3">
      <c r="A660" s="327" t="s">
        <v>1870</v>
      </c>
      <c r="B660" t="s">
        <v>1871</v>
      </c>
      <c r="C660" s="327"/>
      <c r="D660" s="327" t="str">
        <f t="shared" si="14"/>
        <v>NACE H - 52.10 Warehousing and storage</v>
      </c>
      <c r="K660" t="s">
        <v>5301</v>
      </c>
    </row>
    <row r="661" spans="1:11" x14ac:dyDescent="0.3">
      <c r="A661" s="326" t="s">
        <v>1872</v>
      </c>
      <c r="B661" t="s">
        <v>1873</v>
      </c>
      <c r="C661" s="327"/>
      <c r="D661" s="326" t="str">
        <f t="shared" si="14"/>
        <v>NACE H - 52.2 Support activities for transportation</v>
      </c>
      <c r="K661" t="s">
        <v>5302</v>
      </c>
    </row>
    <row r="662" spans="1:11" x14ac:dyDescent="0.3">
      <c r="A662" s="327" t="s">
        <v>1874</v>
      </c>
      <c r="B662" t="s">
        <v>1875</v>
      </c>
      <c r="C662" s="327"/>
      <c r="D662" s="327" t="str">
        <f t="shared" si="14"/>
        <v>NACE H - 52.21 Service activities incidental to land transportation</v>
      </c>
      <c r="K662" t="s">
        <v>5303</v>
      </c>
    </row>
    <row r="663" spans="1:11" x14ac:dyDescent="0.3">
      <c r="A663" s="327" t="s">
        <v>1876</v>
      </c>
      <c r="B663" t="s">
        <v>1877</v>
      </c>
      <c r="C663" s="327"/>
      <c r="D663" s="327" t="str">
        <f t="shared" si="14"/>
        <v>NACE H - 52.22 Service activities incidental to water transportation</v>
      </c>
      <c r="K663" t="s">
        <v>5304</v>
      </c>
    </row>
    <row r="664" spans="1:11" x14ac:dyDescent="0.3">
      <c r="A664" s="327" t="s">
        <v>1878</v>
      </c>
      <c r="B664" t="s">
        <v>1879</v>
      </c>
      <c r="C664" s="327"/>
      <c r="D664" s="327" t="str">
        <f t="shared" si="14"/>
        <v>NACE H - 52.23 Service activities incidental to air transportation</v>
      </c>
      <c r="K664" t="s">
        <v>5305</v>
      </c>
    </row>
    <row r="665" spans="1:11" x14ac:dyDescent="0.3">
      <c r="A665" s="327" t="s">
        <v>1880</v>
      </c>
      <c r="B665" t="s">
        <v>1881</v>
      </c>
      <c r="C665" s="327"/>
      <c r="D665" s="327" t="str">
        <f t="shared" si="14"/>
        <v>NACE H - 52.24 Cargo handling</v>
      </c>
      <c r="K665" t="s">
        <v>5306</v>
      </c>
    </row>
    <row r="666" spans="1:11" x14ac:dyDescent="0.3">
      <c r="A666" s="327" t="s">
        <v>1882</v>
      </c>
      <c r="B666" t="s">
        <v>1883</v>
      </c>
      <c r="C666" s="327"/>
      <c r="D666" s="327" t="str">
        <f t="shared" si="14"/>
        <v>NACE H - 52.25 Logistics service activities</v>
      </c>
      <c r="K666" t="s">
        <v>5307</v>
      </c>
    </row>
    <row r="667" spans="1:11" x14ac:dyDescent="0.3">
      <c r="A667" s="327" t="s">
        <v>1884</v>
      </c>
      <c r="B667" t="s">
        <v>1885</v>
      </c>
      <c r="C667" s="327"/>
      <c r="D667" s="327" t="str">
        <f t="shared" si="14"/>
        <v>NACE H - 52.26 Other support activities for transportation</v>
      </c>
      <c r="K667" t="s">
        <v>5308</v>
      </c>
    </row>
    <row r="668" spans="1:11" x14ac:dyDescent="0.3">
      <c r="A668" s="326" t="s">
        <v>1886</v>
      </c>
      <c r="B668" t="s">
        <v>1887</v>
      </c>
      <c r="C668" s="327"/>
      <c r="D668" s="326" t="str">
        <f t="shared" si="14"/>
        <v>NACE H - 52.3 Intermediation service activities for transportation</v>
      </c>
      <c r="K668" t="s">
        <v>4652</v>
      </c>
    </row>
    <row r="669" spans="1:11" x14ac:dyDescent="0.3">
      <c r="A669" s="327" t="s">
        <v>1888</v>
      </c>
      <c r="B669" t="s">
        <v>1889</v>
      </c>
      <c r="C669" s="327"/>
      <c r="D669" s="327" t="str">
        <f t="shared" si="14"/>
        <v>NACE H - 52.31 Intermediation service activities for freight transportation</v>
      </c>
      <c r="K669" t="s">
        <v>5309</v>
      </c>
    </row>
    <row r="670" spans="1:11" x14ac:dyDescent="0.3">
      <c r="A670" s="327" t="s">
        <v>1890</v>
      </c>
      <c r="B670" t="s">
        <v>1891</v>
      </c>
      <c r="C670" s="327"/>
      <c r="D670" s="327" t="str">
        <f t="shared" si="14"/>
        <v>NACE H - 52.32 Intermediation service activities for passenger transportation</v>
      </c>
      <c r="K670" t="s">
        <v>5310</v>
      </c>
    </row>
    <row r="671" spans="1:11" x14ac:dyDescent="0.3">
      <c r="A671" s="323" t="s">
        <v>1892</v>
      </c>
      <c r="B671" t="s">
        <v>1893</v>
      </c>
      <c r="C671" s="327"/>
      <c r="D671" s="323" t="str">
        <f t="shared" si="14"/>
        <v>NACE H - 53 Postal and courier activities</v>
      </c>
      <c r="K671" t="s">
        <v>5311</v>
      </c>
    </row>
    <row r="672" spans="1:11" x14ac:dyDescent="0.3">
      <c r="A672" s="326" t="s">
        <v>1894</v>
      </c>
      <c r="B672" t="s">
        <v>1895</v>
      </c>
      <c r="C672" s="327"/>
      <c r="D672" s="326" t="str">
        <f t="shared" si="14"/>
        <v>NACE H - 53.1 Postal activities under universal service obligation</v>
      </c>
      <c r="K672" t="s">
        <v>5312</v>
      </c>
    </row>
    <row r="673" spans="1:11" x14ac:dyDescent="0.3">
      <c r="A673" s="327" t="s">
        <v>1896</v>
      </c>
      <c r="B673" t="s">
        <v>1897</v>
      </c>
      <c r="C673" s="327"/>
      <c r="D673" s="327" t="str">
        <f t="shared" si="14"/>
        <v>NACE H - 53.10 Postal activities under universal service obligation</v>
      </c>
      <c r="K673" t="s">
        <v>5313</v>
      </c>
    </row>
    <row r="674" spans="1:11" x14ac:dyDescent="0.3">
      <c r="A674" s="326" t="s">
        <v>1898</v>
      </c>
      <c r="B674" t="s">
        <v>1899</v>
      </c>
      <c r="C674" s="327"/>
      <c r="D674" s="326" t="str">
        <f t="shared" si="14"/>
        <v>NACE H - 53.2 Other postal and courier activities</v>
      </c>
      <c r="K674" t="s">
        <v>5314</v>
      </c>
    </row>
    <row r="675" spans="1:11" x14ac:dyDescent="0.3">
      <c r="A675" s="327" t="s">
        <v>1900</v>
      </c>
      <c r="B675" t="s">
        <v>1901</v>
      </c>
      <c r="C675" s="327"/>
      <c r="D675" s="327" t="str">
        <f t="shared" si="14"/>
        <v>NACE H - 53.20 Other postal and courier activities</v>
      </c>
      <c r="K675" t="s">
        <v>5315</v>
      </c>
    </row>
    <row r="676" spans="1:11" x14ac:dyDescent="0.3">
      <c r="A676" s="326" t="s">
        <v>1902</v>
      </c>
      <c r="B676" t="s">
        <v>1903</v>
      </c>
      <c r="C676" s="327"/>
      <c r="D676" s="326" t="str">
        <f t="shared" si="14"/>
        <v>NACE H - 53.3 Intermediation service activities for postal and courier activities</v>
      </c>
      <c r="K676" t="s">
        <v>5316</v>
      </c>
    </row>
    <row r="677" spans="1:11" x14ac:dyDescent="0.3">
      <c r="A677" s="327" t="s">
        <v>1904</v>
      </c>
      <c r="B677" t="s">
        <v>1905</v>
      </c>
      <c r="C677" s="327"/>
      <c r="D677" s="327" t="str">
        <f t="shared" si="14"/>
        <v>NACE H - 53.30 Intermediation service activities for postal and courier activities</v>
      </c>
      <c r="K677" t="s">
        <v>5317</v>
      </c>
    </row>
    <row r="678" spans="1:11" x14ac:dyDescent="0.3">
      <c r="A678" s="324" t="s">
        <v>1906</v>
      </c>
      <c r="B678" t="s">
        <v>1907</v>
      </c>
      <c r="C678" s="327"/>
      <c r="D678" s="324" t="str">
        <f t="shared" si="14"/>
        <v>NACE I - ACCOMMODATION AND FOOD SERVICE ACTIVITIES</v>
      </c>
      <c r="K678" t="s">
        <v>5318</v>
      </c>
    </row>
    <row r="679" spans="1:11" x14ac:dyDescent="0.3">
      <c r="A679" s="323" t="s">
        <v>1908</v>
      </c>
      <c r="B679" t="s">
        <v>1909</v>
      </c>
      <c r="C679" s="327"/>
      <c r="D679" s="323" t="str">
        <f t="shared" si="14"/>
        <v>NACE I - 55 Accommodation</v>
      </c>
      <c r="K679" t="s">
        <v>5319</v>
      </c>
    </row>
    <row r="680" spans="1:11" x14ac:dyDescent="0.3">
      <c r="A680" s="326" t="s">
        <v>1910</v>
      </c>
      <c r="B680" t="s">
        <v>1911</v>
      </c>
      <c r="C680" s="327"/>
      <c r="D680" s="326" t="str">
        <f t="shared" si="14"/>
        <v>NACE I - 55.1 Hotels and similar accommodation</v>
      </c>
      <c r="K680" t="s">
        <v>5320</v>
      </c>
    </row>
    <row r="681" spans="1:11" x14ac:dyDescent="0.3">
      <c r="A681" s="327" t="s">
        <v>1912</v>
      </c>
      <c r="B681" t="s">
        <v>1913</v>
      </c>
      <c r="C681" s="327"/>
      <c r="D681" s="327" t="str">
        <f t="shared" si="14"/>
        <v>NACE I - 55.10 Hotels and similar accommodation</v>
      </c>
      <c r="K681" t="s">
        <v>5321</v>
      </c>
    </row>
    <row r="682" spans="1:11" x14ac:dyDescent="0.3">
      <c r="A682" s="326" t="s">
        <v>1914</v>
      </c>
      <c r="B682" t="s">
        <v>1915</v>
      </c>
      <c r="C682" s="327"/>
      <c r="D682" s="326" t="str">
        <f t="shared" si="14"/>
        <v>NACE I - 55.2 Holiday and other short-stay accommodation</v>
      </c>
      <c r="K682" t="s">
        <v>5322</v>
      </c>
    </row>
    <row r="683" spans="1:11" x14ac:dyDescent="0.3">
      <c r="A683" s="327" t="s">
        <v>1916</v>
      </c>
      <c r="B683" t="s">
        <v>1917</v>
      </c>
      <c r="C683" s="327"/>
      <c r="D683" s="327" t="str">
        <f t="shared" si="14"/>
        <v>NACE I - 55.20 Holiday and other short-stay accommodation</v>
      </c>
      <c r="K683" t="s">
        <v>5323</v>
      </c>
    </row>
    <row r="684" spans="1:11" x14ac:dyDescent="0.3">
      <c r="A684" s="326" t="s">
        <v>1918</v>
      </c>
      <c r="B684" t="s">
        <v>1919</v>
      </c>
      <c r="C684" s="327"/>
      <c r="D684" s="326" t="str">
        <f t="shared" si="14"/>
        <v>NACE I - 55.3 Camping grounds and recreational vehicle parks</v>
      </c>
      <c r="K684" t="s">
        <v>5324</v>
      </c>
    </row>
    <row r="685" spans="1:11" x14ac:dyDescent="0.3">
      <c r="A685" s="327" t="s">
        <v>1920</v>
      </c>
      <c r="B685" t="s">
        <v>1921</v>
      </c>
      <c r="C685" s="327"/>
      <c r="D685" s="327" t="str">
        <f t="shared" si="14"/>
        <v>NACE I - 55.30 Camping grounds and recreational vehicle parks</v>
      </c>
      <c r="K685" t="s">
        <v>5325</v>
      </c>
    </row>
    <row r="686" spans="1:11" x14ac:dyDescent="0.3">
      <c r="A686" s="326" t="s">
        <v>1922</v>
      </c>
      <c r="B686" t="s">
        <v>1923</v>
      </c>
      <c r="C686" s="327"/>
      <c r="D686" s="326" t="str">
        <f t="shared" si="14"/>
        <v>NACE I - 55.4 Intermediation service activities for accommodation</v>
      </c>
      <c r="K686" t="s">
        <v>5326</v>
      </c>
    </row>
    <row r="687" spans="1:11" x14ac:dyDescent="0.3">
      <c r="A687" s="327" t="s">
        <v>1924</v>
      </c>
      <c r="B687" t="s">
        <v>1925</v>
      </c>
      <c r="C687" s="327"/>
      <c r="D687" s="327" t="str">
        <f t="shared" si="14"/>
        <v>NACE I - 55.40 Intermediation service activities for accommodation</v>
      </c>
      <c r="K687" t="s">
        <v>5327</v>
      </c>
    </row>
    <row r="688" spans="1:11" x14ac:dyDescent="0.3">
      <c r="A688" s="326" t="s">
        <v>1926</v>
      </c>
      <c r="B688" t="s">
        <v>1927</v>
      </c>
      <c r="C688" s="327"/>
      <c r="D688" s="326" t="str">
        <f t="shared" si="14"/>
        <v>NACE I - 55.9 Other accommodation</v>
      </c>
      <c r="K688" t="s">
        <v>5328</v>
      </c>
    </row>
    <row r="689" spans="1:11" x14ac:dyDescent="0.3">
      <c r="A689" s="327" t="s">
        <v>1928</v>
      </c>
      <c r="B689" t="s">
        <v>1929</v>
      </c>
      <c r="C689" s="327"/>
      <c r="D689" s="327" t="str">
        <f t="shared" si="14"/>
        <v>NACE I - 55.90 Other accommodation</v>
      </c>
      <c r="K689" t="s">
        <v>5329</v>
      </c>
    </row>
    <row r="690" spans="1:11" x14ac:dyDescent="0.3">
      <c r="A690" s="323" t="s">
        <v>1930</v>
      </c>
      <c r="B690" t="s">
        <v>1931</v>
      </c>
      <c r="C690" s="327"/>
      <c r="D690" s="323" t="str">
        <f t="shared" si="14"/>
        <v>NACE I - 56 Food and beverage service activities</v>
      </c>
      <c r="K690" t="s">
        <v>5330</v>
      </c>
    </row>
    <row r="691" spans="1:11" x14ac:dyDescent="0.3">
      <c r="A691" s="326" t="s">
        <v>1932</v>
      </c>
      <c r="B691" t="s">
        <v>1933</v>
      </c>
      <c r="C691" s="327"/>
      <c r="D691" s="326" t="str">
        <f t="shared" si="14"/>
        <v>NACE I - 56.1 Restaurants and mobile food service activities</v>
      </c>
      <c r="K691" t="s">
        <v>5331</v>
      </c>
    </row>
    <row r="692" spans="1:11" x14ac:dyDescent="0.3">
      <c r="A692" s="327" t="s">
        <v>1934</v>
      </c>
      <c r="B692" t="s">
        <v>1935</v>
      </c>
      <c r="C692" s="327"/>
      <c r="D692" s="327" t="str">
        <f t="shared" si="14"/>
        <v>NACE I - 56.11 Restaurant activities</v>
      </c>
      <c r="K692" t="s">
        <v>5332</v>
      </c>
    </row>
    <row r="693" spans="1:11" x14ac:dyDescent="0.3">
      <c r="A693" s="327" t="s">
        <v>1936</v>
      </c>
      <c r="B693" t="s">
        <v>1937</v>
      </c>
      <c r="C693" s="327"/>
      <c r="D693" s="327" t="str">
        <f t="shared" si="14"/>
        <v>NACE I - 56.12 Mobile food service activities</v>
      </c>
      <c r="K693" t="s">
        <v>5333</v>
      </c>
    </row>
    <row r="694" spans="1:11" x14ac:dyDescent="0.3">
      <c r="A694" s="326" t="s">
        <v>1938</v>
      </c>
      <c r="B694" t="s">
        <v>1939</v>
      </c>
      <c r="C694" s="327"/>
      <c r="D694" s="326" t="str">
        <f t="shared" si="14"/>
        <v>NACE I - 56.2 Event catering, contract catering service activities and other food service activities</v>
      </c>
      <c r="K694" t="s">
        <v>5334</v>
      </c>
    </row>
    <row r="695" spans="1:11" x14ac:dyDescent="0.3">
      <c r="A695" s="327" t="s">
        <v>1940</v>
      </c>
      <c r="B695" t="s">
        <v>1941</v>
      </c>
      <c r="C695" s="327"/>
      <c r="D695" s="327" t="str">
        <f t="shared" si="14"/>
        <v>NACE I - 56.21 Event catering activities</v>
      </c>
      <c r="K695" t="s">
        <v>5335</v>
      </c>
    </row>
    <row r="696" spans="1:11" x14ac:dyDescent="0.3">
      <c r="A696" s="327" t="s">
        <v>1942</v>
      </c>
      <c r="B696" t="s">
        <v>1943</v>
      </c>
      <c r="C696" s="327"/>
      <c r="D696" s="327" t="str">
        <f t="shared" si="14"/>
        <v>NACE I - 56.22 Contract catering service activities and other food service activities</v>
      </c>
      <c r="K696" t="s">
        <v>5336</v>
      </c>
    </row>
    <row r="697" spans="1:11" x14ac:dyDescent="0.3">
      <c r="A697" s="326" t="s">
        <v>1944</v>
      </c>
      <c r="B697" t="s">
        <v>1945</v>
      </c>
      <c r="C697" s="327"/>
      <c r="D697" s="326" t="str">
        <f t="shared" si="14"/>
        <v>NACE I - 56.3 Beverage serving activities</v>
      </c>
      <c r="K697" t="s">
        <v>5337</v>
      </c>
    </row>
    <row r="698" spans="1:11" x14ac:dyDescent="0.3">
      <c r="A698" s="327" t="s">
        <v>1946</v>
      </c>
      <c r="B698" t="s">
        <v>1947</v>
      </c>
      <c r="C698" s="327"/>
      <c r="D698" s="327" t="str">
        <f t="shared" si="14"/>
        <v>NACE I - 56.30 Beverage serving activities</v>
      </c>
      <c r="K698" t="s">
        <v>5338</v>
      </c>
    </row>
    <row r="699" spans="1:11" x14ac:dyDescent="0.3">
      <c r="A699" s="326" t="s">
        <v>1948</v>
      </c>
      <c r="B699" t="s">
        <v>1949</v>
      </c>
      <c r="C699" s="327"/>
      <c r="D699" s="326" t="str">
        <f t="shared" si="14"/>
        <v>NACE I - 56.4 Intermediation service activities for food and beverage services activities</v>
      </c>
      <c r="K699" t="s">
        <v>5339</v>
      </c>
    </row>
    <row r="700" spans="1:11" x14ac:dyDescent="0.3">
      <c r="A700" s="327" t="s">
        <v>1950</v>
      </c>
      <c r="B700" t="s">
        <v>1951</v>
      </c>
      <c r="C700" s="327"/>
      <c r="D700" s="327" t="str">
        <f t="shared" si="14"/>
        <v>NACE I - 56.40 Intermediation service activities for food and beverage services activities</v>
      </c>
      <c r="K700" t="s">
        <v>5340</v>
      </c>
    </row>
    <row r="701" spans="1:11" x14ac:dyDescent="0.3">
      <c r="A701" s="324" t="s">
        <v>1952</v>
      </c>
      <c r="B701" t="s">
        <v>1953</v>
      </c>
      <c r="C701" s="327"/>
      <c r="D701" s="324" t="str">
        <f t="shared" si="14"/>
        <v>NACE J - PUBLISHING, BROADCASTING, AND CONTENT PRODUCTION AND DISTRIBUTION ACTIVITIES</v>
      </c>
      <c r="K701" t="s">
        <v>5341</v>
      </c>
    </row>
    <row r="702" spans="1:11" x14ac:dyDescent="0.3">
      <c r="A702" s="323" t="s">
        <v>1954</v>
      </c>
      <c r="B702" t="s">
        <v>1955</v>
      </c>
      <c r="C702" s="327"/>
      <c r="D702" s="323" t="str">
        <f t="shared" si="14"/>
        <v>NACE J - 58 Publishing activities</v>
      </c>
      <c r="K702" t="s">
        <v>5342</v>
      </c>
    </row>
    <row r="703" spans="1:11" x14ac:dyDescent="0.3">
      <c r="A703" s="326" t="s">
        <v>1956</v>
      </c>
      <c r="B703" t="s">
        <v>1957</v>
      </c>
      <c r="C703" s="327"/>
      <c r="D703" s="326" t="str">
        <f t="shared" si="14"/>
        <v>NACE J - 58.1 Publishing of books, newspapers and other publishing activities, except software publishing</v>
      </c>
      <c r="K703" t="s">
        <v>5343</v>
      </c>
    </row>
    <row r="704" spans="1:11" x14ac:dyDescent="0.3">
      <c r="A704" s="327" t="s">
        <v>1958</v>
      </c>
      <c r="B704" t="s">
        <v>1959</v>
      </c>
      <c r="C704" s="327"/>
      <c r="D704" s="327" t="str">
        <f t="shared" si="14"/>
        <v>NACE J - 58.11 Publishing of books</v>
      </c>
      <c r="K704" t="s">
        <v>5344</v>
      </c>
    </row>
    <row r="705" spans="1:11" x14ac:dyDescent="0.3">
      <c r="A705" s="327" t="s">
        <v>1960</v>
      </c>
      <c r="B705" t="s">
        <v>1961</v>
      </c>
      <c r="C705" s="327"/>
      <c r="D705" s="327" t="str">
        <f t="shared" si="14"/>
        <v>NACE J - 58.12 Publishing of newspapers</v>
      </c>
      <c r="K705" t="s">
        <v>5345</v>
      </c>
    </row>
    <row r="706" spans="1:11" x14ac:dyDescent="0.3">
      <c r="A706" s="327" t="s">
        <v>1962</v>
      </c>
      <c r="B706" t="s">
        <v>1963</v>
      </c>
      <c r="C706" s="327"/>
      <c r="D706" s="327" t="str">
        <f t="shared" ref="D706:D769" si="15">_xlfn.CONCAT("NACE ", A706)</f>
        <v>NACE J - 58.13 Publishing of journals and periodicals</v>
      </c>
      <c r="K706" t="s">
        <v>5346</v>
      </c>
    </row>
    <row r="707" spans="1:11" x14ac:dyDescent="0.3">
      <c r="A707" s="327" t="s">
        <v>1964</v>
      </c>
      <c r="B707" t="s">
        <v>1965</v>
      </c>
      <c r="C707" s="327"/>
      <c r="D707" s="327" t="str">
        <f t="shared" si="15"/>
        <v>NACE J - 58.19 Other publishing activities, except software publishing</v>
      </c>
      <c r="K707" t="s">
        <v>5347</v>
      </c>
    </row>
    <row r="708" spans="1:11" x14ac:dyDescent="0.3">
      <c r="A708" s="326" t="s">
        <v>1966</v>
      </c>
      <c r="B708" t="s">
        <v>1967</v>
      </c>
      <c r="C708" s="327"/>
      <c r="D708" s="326" t="str">
        <f t="shared" si="15"/>
        <v>NACE J - 58.2 Software publishing</v>
      </c>
      <c r="K708" t="s">
        <v>5348</v>
      </c>
    </row>
    <row r="709" spans="1:11" x14ac:dyDescent="0.3">
      <c r="A709" s="327" t="s">
        <v>1968</v>
      </c>
      <c r="B709" t="s">
        <v>1969</v>
      </c>
      <c r="C709" s="327"/>
      <c r="D709" s="327" t="str">
        <f t="shared" si="15"/>
        <v>NACE J - 58.21 Publishing of video games</v>
      </c>
      <c r="K709" t="s">
        <v>5349</v>
      </c>
    </row>
    <row r="710" spans="1:11" x14ac:dyDescent="0.3">
      <c r="A710" s="327" t="s">
        <v>1970</v>
      </c>
      <c r="B710" t="s">
        <v>1971</v>
      </c>
      <c r="C710" s="327"/>
      <c r="D710" s="327" t="str">
        <f t="shared" si="15"/>
        <v>NACE J - 58.29 Other software publishing</v>
      </c>
      <c r="K710" t="s">
        <v>5350</v>
      </c>
    </row>
    <row r="711" spans="1:11" x14ac:dyDescent="0.3">
      <c r="A711" s="323" t="s">
        <v>1972</v>
      </c>
      <c r="B711" t="s">
        <v>1973</v>
      </c>
      <c r="C711" s="327"/>
      <c r="D711" s="323" t="str">
        <f t="shared" si="15"/>
        <v>NACE J - 59 Motion picture, video and television programme production, sound recording and music publishing activities</v>
      </c>
      <c r="K711" t="s">
        <v>5351</v>
      </c>
    </row>
    <row r="712" spans="1:11" x14ac:dyDescent="0.3">
      <c r="A712" s="326" t="s">
        <v>1974</v>
      </c>
      <c r="B712" t="s">
        <v>1975</v>
      </c>
      <c r="C712" s="327"/>
      <c r="D712" s="326" t="str">
        <f t="shared" si="15"/>
        <v>NACE J - 59.1 Motion picture, video and television programme activities</v>
      </c>
      <c r="K712" t="s">
        <v>5352</v>
      </c>
    </row>
    <row r="713" spans="1:11" x14ac:dyDescent="0.3">
      <c r="A713" s="327" t="s">
        <v>1976</v>
      </c>
      <c r="B713" t="s">
        <v>1977</v>
      </c>
      <c r="C713" s="327"/>
      <c r="D713" s="327" t="str">
        <f t="shared" si="15"/>
        <v>NACE J - 59.11 Motion picture, video and television programme production activities</v>
      </c>
      <c r="K713" t="s">
        <v>5353</v>
      </c>
    </row>
    <row r="714" spans="1:11" x14ac:dyDescent="0.3">
      <c r="A714" s="327" t="s">
        <v>1978</v>
      </c>
      <c r="B714" t="s">
        <v>1979</v>
      </c>
      <c r="C714" s="327"/>
      <c r="D714" s="327" t="str">
        <f t="shared" si="15"/>
        <v>NACE J - 59.12 Motion picture, video and television programme post-production activities</v>
      </c>
      <c r="K714" t="s">
        <v>5354</v>
      </c>
    </row>
    <row r="715" spans="1:11" x14ac:dyDescent="0.3">
      <c r="A715" s="327" t="s">
        <v>1980</v>
      </c>
      <c r="B715" t="s">
        <v>1981</v>
      </c>
      <c r="C715" s="327"/>
      <c r="D715" s="327" t="str">
        <f t="shared" si="15"/>
        <v>NACE J - 59.13 Motion picture and video distribution activities</v>
      </c>
      <c r="K715" t="s">
        <v>5355</v>
      </c>
    </row>
    <row r="716" spans="1:11" x14ac:dyDescent="0.3">
      <c r="A716" s="327" t="s">
        <v>1982</v>
      </c>
      <c r="B716" t="s">
        <v>1983</v>
      </c>
      <c r="C716" s="327"/>
      <c r="D716" s="327" t="str">
        <f t="shared" si="15"/>
        <v>NACE J - 59.14 Motion picture projection activities</v>
      </c>
      <c r="K716" t="s">
        <v>5356</v>
      </c>
    </row>
    <row r="717" spans="1:11" x14ac:dyDescent="0.3">
      <c r="A717" s="326" t="s">
        <v>1984</v>
      </c>
      <c r="B717" t="s">
        <v>1985</v>
      </c>
      <c r="C717" s="327"/>
      <c r="D717" s="326" t="str">
        <f t="shared" si="15"/>
        <v>NACE J - 59.2 Sound recording and music publishing activities</v>
      </c>
      <c r="K717" t="s">
        <v>5357</v>
      </c>
    </row>
    <row r="718" spans="1:11" x14ac:dyDescent="0.3">
      <c r="A718" s="327" t="s">
        <v>1986</v>
      </c>
      <c r="B718" t="s">
        <v>1987</v>
      </c>
      <c r="C718" s="327"/>
      <c r="D718" s="327" t="str">
        <f t="shared" si="15"/>
        <v>NACE J - 59.20 Sound recording and music publishing activities</v>
      </c>
      <c r="K718" t="s">
        <v>5358</v>
      </c>
    </row>
    <row r="719" spans="1:11" x14ac:dyDescent="0.3">
      <c r="A719" s="323" t="s">
        <v>1988</v>
      </c>
      <c r="B719" t="s">
        <v>1989</v>
      </c>
      <c r="C719" s="327"/>
      <c r="D719" s="323" t="str">
        <f t="shared" si="15"/>
        <v>NACE J - 60 Programming, broadcasting, news agency and other content distribution activities</v>
      </c>
      <c r="K719" t="s">
        <v>5359</v>
      </c>
    </row>
    <row r="720" spans="1:11" x14ac:dyDescent="0.3">
      <c r="A720" s="326" t="s">
        <v>1990</v>
      </c>
      <c r="B720" t="s">
        <v>1991</v>
      </c>
      <c r="C720" s="327"/>
      <c r="D720" s="326" t="str">
        <f t="shared" si="15"/>
        <v>NACE J - 60.1 Radio broadcasting and audio distribution activities</v>
      </c>
      <c r="K720" t="s">
        <v>5360</v>
      </c>
    </row>
    <row r="721" spans="1:11" x14ac:dyDescent="0.3">
      <c r="A721" s="327" t="s">
        <v>1992</v>
      </c>
      <c r="B721" t="s">
        <v>1993</v>
      </c>
      <c r="C721" s="327"/>
      <c r="D721" s="327" t="str">
        <f t="shared" si="15"/>
        <v>NACE J - 60.10 Radio broadcasting and audio distribution activities</v>
      </c>
      <c r="K721" t="s">
        <v>5361</v>
      </c>
    </row>
    <row r="722" spans="1:11" x14ac:dyDescent="0.3">
      <c r="A722" s="326" t="s">
        <v>1994</v>
      </c>
      <c r="B722" t="s">
        <v>1995</v>
      </c>
      <c r="C722" s="327"/>
      <c r="D722" s="326" t="str">
        <f t="shared" si="15"/>
        <v>NACE J - 60.2 Television programming, broadcasting and video distribution activities</v>
      </c>
      <c r="K722" t="s">
        <v>5362</v>
      </c>
    </row>
    <row r="723" spans="1:11" x14ac:dyDescent="0.3">
      <c r="A723" s="327" t="s">
        <v>1996</v>
      </c>
      <c r="B723" t="s">
        <v>1997</v>
      </c>
      <c r="C723" s="327"/>
      <c r="D723" s="327" t="str">
        <f t="shared" si="15"/>
        <v>NACE J - 60.20 Television programming, broadcasting and video distribution activities</v>
      </c>
      <c r="K723" t="s">
        <v>5363</v>
      </c>
    </row>
    <row r="724" spans="1:11" x14ac:dyDescent="0.3">
      <c r="A724" s="326" t="s">
        <v>1998</v>
      </c>
      <c r="B724" t="s">
        <v>1999</v>
      </c>
      <c r="C724" s="327"/>
      <c r="D724" s="326" t="str">
        <f t="shared" si="15"/>
        <v>NACE J - 60.3 News agency and other content distribution activities</v>
      </c>
      <c r="K724" t="s">
        <v>5364</v>
      </c>
    </row>
    <row r="725" spans="1:11" x14ac:dyDescent="0.3">
      <c r="A725" s="327" t="s">
        <v>2000</v>
      </c>
      <c r="B725" t="s">
        <v>2001</v>
      </c>
      <c r="C725" s="327"/>
      <c r="D725" s="327" t="str">
        <f t="shared" si="15"/>
        <v>NACE J - 60.31 News agency activities</v>
      </c>
      <c r="K725" t="s">
        <v>5365</v>
      </c>
    </row>
    <row r="726" spans="1:11" x14ac:dyDescent="0.3">
      <c r="A726" s="327" t="s">
        <v>2002</v>
      </c>
      <c r="B726" t="s">
        <v>2003</v>
      </c>
      <c r="C726" s="327"/>
      <c r="D726" s="327" t="str">
        <f t="shared" si="15"/>
        <v>NACE J - 60.39 Other content distribution activities</v>
      </c>
      <c r="K726" t="s">
        <v>5366</v>
      </c>
    </row>
    <row r="727" spans="1:11" x14ac:dyDescent="0.3">
      <c r="A727" s="324" t="s">
        <v>2004</v>
      </c>
      <c r="B727" t="s">
        <v>2005</v>
      </c>
      <c r="C727" s="327"/>
      <c r="D727" s="324" t="str">
        <f t="shared" si="15"/>
        <v>NACE K - TELECOMMUNICATION, COMPUTER PROGRAMMING, CONSULTING, COMPUTING INFRASTRUCTURE AND OTHER INFORMATION SERVICE ACTIVITIES</v>
      </c>
      <c r="K727" t="s">
        <v>5367</v>
      </c>
    </row>
    <row r="728" spans="1:11" x14ac:dyDescent="0.3">
      <c r="A728" s="323" t="s">
        <v>2006</v>
      </c>
      <c r="B728" t="s">
        <v>2007</v>
      </c>
      <c r="C728" s="327"/>
      <c r="D728" s="323" t="str">
        <f t="shared" si="15"/>
        <v>NACE K - 61 Telecommunication</v>
      </c>
      <c r="K728" t="s">
        <v>5368</v>
      </c>
    </row>
    <row r="729" spans="1:11" x14ac:dyDescent="0.3">
      <c r="A729" s="326" t="s">
        <v>2008</v>
      </c>
      <c r="B729" t="s">
        <v>2009</v>
      </c>
      <c r="C729" s="327"/>
      <c r="D729" s="326" t="str">
        <f t="shared" si="15"/>
        <v>NACE K - 61.1 Wired, wireless, and satellite telecommunication activities</v>
      </c>
      <c r="K729" t="s">
        <v>5369</v>
      </c>
    </row>
    <row r="730" spans="1:11" x14ac:dyDescent="0.3">
      <c r="A730" s="327" t="s">
        <v>2010</v>
      </c>
      <c r="B730" t="s">
        <v>2011</v>
      </c>
      <c r="C730" s="327"/>
      <c r="D730" s="327" t="str">
        <f t="shared" si="15"/>
        <v>NACE K - 61.10 Wired, wireless, and satellite telecommunication activities</v>
      </c>
      <c r="K730" t="s">
        <v>5370</v>
      </c>
    </row>
    <row r="731" spans="1:11" x14ac:dyDescent="0.3">
      <c r="A731" s="326" t="s">
        <v>2012</v>
      </c>
      <c r="B731" t="s">
        <v>2013</v>
      </c>
      <c r="C731" s="327"/>
      <c r="D731" s="326" t="str">
        <f t="shared" si="15"/>
        <v>NACE K - 61.2 Telecommunication reselling activities and intermediation service activities for telecommunication</v>
      </c>
      <c r="K731" t="s">
        <v>5371</v>
      </c>
    </row>
    <row r="732" spans="1:11" x14ac:dyDescent="0.3">
      <c r="A732" s="327" t="s">
        <v>2014</v>
      </c>
      <c r="B732" t="s">
        <v>2015</v>
      </c>
      <c r="C732" s="327"/>
      <c r="D732" s="327" t="str">
        <f t="shared" si="15"/>
        <v>NACE K - 61.20 Telecommunication reselling activities and intermediation service activities for telecommunication</v>
      </c>
      <c r="K732" t="s">
        <v>5372</v>
      </c>
    </row>
    <row r="733" spans="1:11" x14ac:dyDescent="0.3">
      <c r="A733" s="326" t="s">
        <v>2016</v>
      </c>
      <c r="B733" t="s">
        <v>2017</v>
      </c>
      <c r="C733" s="327"/>
      <c r="D733" s="326" t="str">
        <f t="shared" si="15"/>
        <v>NACE K - 61.9 Other telecommunication activities</v>
      </c>
      <c r="K733" t="s">
        <v>5373</v>
      </c>
    </row>
    <row r="734" spans="1:11" x14ac:dyDescent="0.3">
      <c r="A734" s="327" t="s">
        <v>2018</v>
      </c>
      <c r="B734" t="s">
        <v>2019</v>
      </c>
      <c r="C734" s="327"/>
      <c r="D734" s="327" t="str">
        <f t="shared" si="15"/>
        <v>NACE K - 61.90 Other telecommunication activities</v>
      </c>
      <c r="K734" t="s">
        <v>5374</v>
      </c>
    </row>
    <row r="735" spans="1:11" x14ac:dyDescent="0.3">
      <c r="A735" s="323" t="s">
        <v>2020</v>
      </c>
      <c r="B735" t="s">
        <v>2021</v>
      </c>
      <c r="C735" s="327"/>
      <c r="D735" s="323" t="str">
        <f t="shared" si="15"/>
        <v>NACE K - 62 Computer programming, consultancy and related activities</v>
      </c>
      <c r="K735" t="s">
        <v>5375</v>
      </c>
    </row>
    <row r="736" spans="1:11" x14ac:dyDescent="0.3">
      <c r="A736" s="326" t="s">
        <v>2022</v>
      </c>
      <c r="B736" t="s">
        <v>2023</v>
      </c>
      <c r="C736" s="327"/>
      <c r="D736" s="326" t="str">
        <f t="shared" si="15"/>
        <v>NACE K - 62.1 Computer programming activities</v>
      </c>
      <c r="K736" t="s">
        <v>5376</v>
      </c>
    </row>
    <row r="737" spans="1:11" x14ac:dyDescent="0.3">
      <c r="A737" s="327" t="s">
        <v>2024</v>
      </c>
      <c r="B737" t="s">
        <v>2025</v>
      </c>
      <c r="C737" s="327"/>
      <c r="D737" s="327" t="str">
        <f t="shared" si="15"/>
        <v>NACE K - 62.10 Computer programming activities</v>
      </c>
      <c r="K737" t="s">
        <v>5377</v>
      </c>
    </row>
    <row r="738" spans="1:11" x14ac:dyDescent="0.3">
      <c r="A738" s="326" t="s">
        <v>2026</v>
      </c>
      <c r="B738" t="s">
        <v>2027</v>
      </c>
      <c r="C738" s="327"/>
      <c r="D738" s="326" t="str">
        <f t="shared" si="15"/>
        <v>NACE K - 62.2 Computer consultancy and computer facilities management activities</v>
      </c>
      <c r="K738" t="s">
        <v>5378</v>
      </c>
    </row>
    <row r="739" spans="1:11" x14ac:dyDescent="0.3">
      <c r="A739" s="327" t="s">
        <v>2028</v>
      </c>
      <c r="B739" t="s">
        <v>2029</v>
      </c>
      <c r="C739" s="327"/>
      <c r="D739" s="327" t="str">
        <f t="shared" si="15"/>
        <v>NACE K - 62.20 Computer consultancy and computer facilities management activities</v>
      </c>
      <c r="K739" t="s">
        <v>5379</v>
      </c>
    </row>
    <row r="740" spans="1:11" x14ac:dyDescent="0.3">
      <c r="A740" s="326" t="s">
        <v>2030</v>
      </c>
      <c r="B740" t="s">
        <v>2031</v>
      </c>
      <c r="C740" s="327"/>
      <c r="D740" s="326" t="str">
        <f t="shared" si="15"/>
        <v>NACE K - 62.9 Other information technology and computer service activities</v>
      </c>
      <c r="K740" t="s">
        <v>5380</v>
      </c>
    </row>
    <row r="741" spans="1:11" x14ac:dyDescent="0.3">
      <c r="A741" s="327" t="s">
        <v>2032</v>
      </c>
      <c r="B741" t="s">
        <v>2033</v>
      </c>
      <c r="C741" s="327"/>
      <c r="D741" s="327" t="str">
        <f t="shared" si="15"/>
        <v>NACE K - 62.90 Other information technology and computer service activities</v>
      </c>
      <c r="K741" t="s">
        <v>5381</v>
      </c>
    </row>
    <row r="742" spans="1:11" x14ac:dyDescent="0.3">
      <c r="A742" s="323" t="s">
        <v>2034</v>
      </c>
      <c r="B742" t="s">
        <v>2035</v>
      </c>
      <c r="C742" s="327"/>
      <c r="D742" s="323" t="str">
        <f t="shared" si="15"/>
        <v>NACE K - 63 Computing infrastructure, data processing, hosting and other information service activities</v>
      </c>
      <c r="K742" t="s">
        <v>5382</v>
      </c>
    </row>
    <row r="743" spans="1:11" x14ac:dyDescent="0.3">
      <c r="A743" s="326" t="s">
        <v>2036</v>
      </c>
      <c r="B743" t="s">
        <v>2037</v>
      </c>
      <c r="C743" s="327"/>
      <c r="D743" s="326" t="str">
        <f t="shared" si="15"/>
        <v>NACE K - 63.1 Computing infrastructure, data processing, hosting and related activities</v>
      </c>
      <c r="K743" t="s">
        <v>5383</v>
      </c>
    </row>
    <row r="744" spans="1:11" x14ac:dyDescent="0.3">
      <c r="A744" s="327" t="s">
        <v>2038</v>
      </c>
      <c r="B744" t="s">
        <v>2039</v>
      </c>
      <c r="C744" s="327"/>
      <c r="D744" s="327" t="str">
        <f t="shared" si="15"/>
        <v>NACE K - 63.10 Computing infrastructure, data processing, hosting and related activities</v>
      </c>
      <c r="K744" t="s">
        <v>5384</v>
      </c>
    </row>
    <row r="745" spans="1:11" x14ac:dyDescent="0.3">
      <c r="A745" s="326" t="s">
        <v>2040</v>
      </c>
      <c r="B745" t="s">
        <v>2041</v>
      </c>
      <c r="C745" s="327"/>
      <c r="D745" s="326" t="str">
        <f t="shared" si="15"/>
        <v>NACE K - 63.9 Web search portal activities and other information service activities</v>
      </c>
      <c r="K745" t="s">
        <v>5385</v>
      </c>
    </row>
    <row r="746" spans="1:11" x14ac:dyDescent="0.3">
      <c r="A746" s="327" t="s">
        <v>2042</v>
      </c>
      <c r="B746" t="s">
        <v>2043</v>
      </c>
      <c r="C746" s="327"/>
      <c r="D746" s="327" t="str">
        <f t="shared" si="15"/>
        <v>NACE K - 63.91 Web search portal activities</v>
      </c>
      <c r="K746" t="s">
        <v>5386</v>
      </c>
    </row>
    <row r="747" spans="1:11" x14ac:dyDescent="0.3">
      <c r="A747" s="327" t="s">
        <v>2044</v>
      </c>
      <c r="B747" t="s">
        <v>2045</v>
      </c>
      <c r="C747" s="327"/>
      <c r="D747" s="327" t="str">
        <f t="shared" si="15"/>
        <v>NACE K - 63.92 Other information service activities</v>
      </c>
      <c r="K747" t="s">
        <v>5387</v>
      </c>
    </row>
    <row r="748" spans="1:11" x14ac:dyDescent="0.3">
      <c r="A748" s="324" t="s">
        <v>2046</v>
      </c>
      <c r="B748" t="s">
        <v>2047</v>
      </c>
      <c r="C748" s="327"/>
      <c r="D748" s="324" t="str">
        <f t="shared" si="15"/>
        <v>NACE L - FINANCIAL AND INSURANCE ACTIVITIES</v>
      </c>
      <c r="K748" t="s">
        <v>5388</v>
      </c>
    </row>
    <row r="749" spans="1:11" x14ac:dyDescent="0.3">
      <c r="A749" s="323" t="s">
        <v>2048</v>
      </c>
      <c r="B749" t="s">
        <v>2049</v>
      </c>
      <c r="C749" s="327"/>
      <c r="D749" s="323" t="str">
        <f t="shared" si="15"/>
        <v>NACE L - 64 Financial service activities, except insurance and pension funding</v>
      </c>
      <c r="K749" t="s">
        <v>5389</v>
      </c>
    </row>
    <row r="750" spans="1:11" x14ac:dyDescent="0.3">
      <c r="A750" s="326" t="s">
        <v>2050</v>
      </c>
      <c r="B750" t="s">
        <v>2051</v>
      </c>
      <c r="C750" s="327"/>
      <c r="D750" s="326" t="str">
        <f t="shared" si="15"/>
        <v>NACE L - 64.1 Monetary intermediation</v>
      </c>
      <c r="K750" t="s">
        <v>5390</v>
      </c>
    </row>
    <row r="751" spans="1:11" x14ac:dyDescent="0.3">
      <c r="A751" s="327" t="s">
        <v>2052</v>
      </c>
      <c r="B751" t="s">
        <v>2053</v>
      </c>
      <c r="C751" s="327"/>
      <c r="D751" s="327" t="str">
        <f t="shared" si="15"/>
        <v>NACE L - 64.11 Central banking</v>
      </c>
      <c r="K751" t="s">
        <v>5391</v>
      </c>
    </row>
    <row r="752" spans="1:11" x14ac:dyDescent="0.3">
      <c r="A752" s="327" t="s">
        <v>2054</v>
      </c>
      <c r="B752" t="s">
        <v>2055</v>
      </c>
      <c r="C752" s="327"/>
      <c r="D752" s="327" t="str">
        <f t="shared" si="15"/>
        <v>NACE L - 64.19 Other monetary intermediation</v>
      </c>
      <c r="K752" t="s">
        <v>4653</v>
      </c>
    </row>
    <row r="753" spans="1:11" x14ac:dyDescent="0.3">
      <c r="A753" s="326" t="s">
        <v>2056</v>
      </c>
      <c r="B753" t="s">
        <v>2057</v>
      </c>
      <c r="C753" s="327"/>
      <c r="D753" s="326" t="str">
        <f t="shared" si="15"/>
        <v>NACE L - 64.2 Activities of holding companies and financing conduits</v>
      </c>
      <c r="K753" t="s">
        <v>5392</v>
      </c>
    </row>
    <row r="754" spans="1:11" x14ac:dyDescent="0.3">
      <c r="A754" s="327" t="s">
        <v>2058</v>
      </c>
      <c r="B754" t="s">
        <v>2059</v>
      </c>
      <c r="C754" s="327"/>
      <c r="D754" s="327" t="str">
        <f t="shared" si="15"/>
        <v>NACE L - 64.21 Activities of holding companies</v>
      </c>
      <c r="K754" t="s">
        <v>5393</v>
      </c>
    </row>
    <row r="755" spans="1:11" x14ac:dyDescent="0.3">
      <c r="A755" s="327" t="s">
        <v>2060</v>
      </c>
      <c r="B755" t="s">
        <v>2061</v>
      </c>
      <c r="C755" s="327"/>
      <c r="D755" s="327" t="str">
        <f t="shared" si="15"/>
        <v>NACE L - 64.22 Activities of financing conduits</v>
      </c>
      <c r="K755" t="s">
        <v>5394</v>
      </c>
    </row>
    <row r="756" spans="1:11" x14ac:dyDescent="0.3">
      <c r="A756" s="326" t="s">
        <v>2062</v>
      </c>
      <c r="B756" t="s">
        <v>2063</v>
      </c>
      <c r="C756" s="327"/>
      <c r="D756" s="326" t="str">
        <f t="shared" si="15"/>
        <v>NACE L - 64.3 Activities of trusts, funds and similar financial entities</v>
      </c>
      <c r="K756" t="s">
        <v>5395</v>
      </c>
    </row>
    <row r="757" spans="1:11" x14ac:dyDescent="0.3">
      <c r="A757" s="327" t="s">
        <v>2064</v>
      </c>
      <c r="B757" t="s">
        <v>2065</v>
      </c>
      <c r="C757" s="327"/>
      <c r="D757" s="327" t="str">
        <f t="shared" si="15"/>
        <v>NACE L - 64.31 Activities of money market and non-money market investments funds</v>
      </c>
      <c r="K757" t="s">
        <v>5396</v>
      </c>
    </row>
    <row r="758" spans="1:11" x14ac:dyDescent="0.3">
      <c r="A758" s="327" t="s">
        <v>2066</v>
      </c>
      <c r="B758" t="s">
        <v>2067</v>
      </c>
      <c r="C758" s="327"/>
      <c r="D758" s="327" t="str">
        <f t="shared" si="15"/>
        <v>NACE L - 64.32 Activities of trust, estate and agency accounts</v>
      </c>
      <c r="K758" t="s">
        <v>5397</v>
      </c>
    </row>
    <row r="759" spans="1:11" x14ac:dyDescent="0.3">
      <c r="A759" s="326" t="s">
        <v>2068</v>
      </c>
      <c r="B759" t="s">
        <v>2069</v>
      </c>
      <c r="C759" s="327"/>
      <c r="D759" s="326" t="str">
        <f t="shared" si="15"/>
        <v>NACE L - 64.9 Other financial service activities, except insurance and pension funding</v>
      </c>
      <c r="K759" t="s">
        <v>5398</v>
      </c>
    </row>
    <row r="760" spans="1:11" x14ac:dyDescent="0.3">
      <c r="A760" s="327" t="s">
        <v>2070</v>
      </c>
      <c r="B760" t="s">
        <v>2071</v>
      </c>
      <c r="C760" s="327"/>
      <c r="D760" s="327" t="str">
        <f t="shared" si="15"/>
        <v>NACE L - 64.91 Financial leasing</v>
      </c>
      <c r="K760" t="s">
        <v>5399</v>
      </c>
    </row>
    <row r="761" spans="1:11" x14ac:dyDescent="0.3">
      <c r="A761" s="327" t="s">
        <v>2072</v>
      </c>
      <c r="B761" t="s">
        <v>2073</v>
      </c>
      <c r="C761" s="327"/>
      <c r="D761" s="327" t="str">
        <f t="shared" si="15"/>
        <v>NACE L - 64.92 Other credit granting</v>
      </c>
      <c r="K761" t="s">
        <v>5400</v>
      </c>
    </row>
    <row r="762" spans="1:11" x14ac:dyDescent="0.3">
      <c r="A762" s="327" t="s">
        <v>2074</v>
      </c>
      <c r="B762" t="s">
        <v>2075</v>
      </c>
      <c r="C762" s="327"/>
      <c r="D762" s="327" t="str">
        <f t="shared" si="15"/>
        <v>NACE L - 64.99 Other financial service activities, except insurance and pension funding n.e.c.</v>
      </c>
      <c r="K762" t="s">
        <v>5401</v>
      </c>
    </row>
    <row r="763" spans="1:11" x14ac:dyDescent="0.3">
      <c r="A763" s="323" t="s">
        <v>2076</v>
      </c>
      <c r="B763" t="s">
        <v>2077</v>
      </c>
      <c r="C763" s="327"/>
      <c r="D763" s="323" t="str">
        <f t="shared" si="15"/>
        <v>NACE L - 65 Insurance, reinsurance and pension funding, except compulsory social security</v>
      </c>
      <c r="K763" t="s">
        <v>5402</v>
      </c>
    </row>
    <row r="764" spans="1:11" x14ac:dyDescent="0.3">
      <c r="A764" s="326" t="s">
        <v>2078</v>
      </c>
      <c r="B764" t="s">
        <v>2079</v>
      </c>
      <c r="C764" s="327"/>
      <c r="D764" s="326" t="str">
        <f t="shared" si="15"/>
        <v>NACE L - 65.1 Insurance</v>
      </c>
      <c r="K764" t="s">
        <v>5403</v>
      </c>
    </row>
    <row r="765" spans="1:11" x14ac:dyDescent="0.3">
      <c r="A765" s="327" t="s">
        <v>2080</v>
      </c>
      <c r="B765" t="s">
        <v>2081</v>
      </c>
      <c r="C765" s="327"/>
      <c r="D765" s="327" t="str">
        <f t="shared" si="15"/>
        <v>NACE L - 65.11 Life insurance</v>
      </c>
      <c r="K765" t="s">
        <v>5404</v>
      </c>
    </row>
    <row r="766" spans="1:11" x14ac:dyDescent="0.3">
      <c r="A766" s="327" t="s">
        <v>2082</v>
      </c>
      <c r="B766" t="s">
        <v>2083</v>
      </c>
      <c r="C766" s="327"/>
      <c r="D766" s="327" t="str">
        <f t="shared" si="15"/>
        <v>NACE L - 65.12 Non-life insurance</v>
      </c>
      <c r="K766" t="s">
        <v>5405</v>
      </c>
    </row>
    <row r="767" spans="1:11" x14ac:dyDescent="0.3">
      <c r="A767" s="326" t="s">
        <v>2084</v>
      </c>
      <c r="B767" t="s">
        <v>2085</v>
      </c>
      <c r="C767" s="327"/>
      <c r="D767" s="326" t="str">
        <f t="shared" si="15"/>
        <v>NACE L - 65.2 Reinsurance</v>
      </c>
      <c r="K767" t="s">
        <v>5406</v>
      </c>
    </row>
    <row r="768" spans="1:11" x14ac:dyDescent="0.3">
      <c r="A768" s="327" t="s">
        <v>2086</v>
      </c>
      <c r="B768" t="s">
        <v>2087</v>
      </c>
      <c r="C768" s="327"/>
      <c r="D768" s="327" t="str">
        <f t="shared" si="15"/>
        <v>NACE L - 65.20 Reinsurance</v>
      </c>
      <c r="K768" t="s">
        <v>5407</v>
      </c>
    </row>
    <row r="769" spans="1:11" x14ac:dyDescent="0.3">
      <c r="A769" s="326" t="s">
        <v>2088</v>
      </c>
      <c r="B769" t="s">
        <v>2089</v>
      </c>
      <c r="C769" s="327"/>
      <c r="D769" s="326" t="str">
        <f t="shared" si="15"/>
        <v>NACE L - 65.3 Pension funding</v>
      </c>
      <c r="K769" t="s">
        <v>5408</v>
      </c>
    </row>
    <row r="770" spans="1:11" x14ac:dyDescent="0.3">
      <c r="A770" s="327" t="s">
        <v>2090</v>
      </c>
      <c r="B770" t="s">
        <v>2091</v>
      </c>
      <c r="C770" s="327"/>
      <c r="D770" s="327" t="str">
        <f t="shared" ref="D770:D833" si="16">_xlfn.CONCAT("NACE ", A770)</f>
        <v>NACE L - 65.30 Pension funding</v>
      </c>
      <c r="K770" t="s">
        <v>5409</v>
      </c>
    </row>
    <row r="771" spans="1:11" x14ac:dyDescent="0.3">
      <c r="A771" s="323" t="s">
        <v>2092</v>
      </c>
      <c r="B771" t="s">
        <v>2093</v>
      </c>
      <c r="C771" s="327"/>
      <c r="D771" s="323" t="str">
        <f t="shared" si="16"/>
        <v>NACE L - 66 Activities auxiliary to financial services and insurance activities</v>
      </c>
      <c r="K771" t="s">
        <v>5410</v>
      </c>
    </row>
    <row r="772" spans="1:11" x14ac:dyDescent="0.3">
      <c r="A772" s="326" t="s">
        <v>2094</v>
      </c>
      <c r="B772" t="s">
        <v>2095</v>
      </c>
      <c r="C772" s="327"/>
      <c r="D772" s="326" t="str">
        <f t="shared" si="16"/>
        <v>NACE L - 66.1 Activities auxiliary to financial services, except insurance and pension funding</v>
      </c>
      <c r="K772" t="s">
        <v>5411</v>
      </c>
    </row>
    <row r="773" spans="1:11" x14ac:dyDescent="0.3">
      <c r="A773" s="327" t="s">
        <v>2096</v>
      </c>
      <c r="B773" t="s">
        <v>2097</v>
      </c>
      <c r="C773" s="327"/>
      <c r="D773" s="327" t="str">
        <f t="shared" si="16"/>
        <v>NACE L - 66.11 Administration of financial markets</v>
      </c>
      <c r="K773" t="s">
        <v>5412</v>
      </c>
    </row>
    <row r="774" spans="1:11" x14ac:dyDescent="0.3">
      <c r="A774" s="327" t="s">
        <v>2098</v>
      </c>
      <c r="B774" t="s">
        <v>2099</v>
      </c>
      <c r="C774" s="327"/>
      <c r="D774" s="327" t="str">
        <f t="shared" si="16"/>
        <v>NACE L - 66.12 Security and commodity contracts brokerage</v>
      </c>
      <c r="K774" t="s">
        <v>5413</v>
      </c>
    </row>
    <row r="775" spans="1:11" x14ac:dyDescent="0.3">
      <c r="A775" s="327" t="s">
        <v>2100</v>
      </c>
      <c r="B775" t="s">
        <v>2101</v>
      </c>
      <c r="C775" s="327"/>
      <c r="D775" s="327" t="str">
        <f t="shared" si="16"/>
        <v>NACE L - 66.19 Other activities auxiliary to financial services, except insurance and pension funding</v>
      </c>
      <c r="K775" t="s">
        <v>5414</v>
      </c>
    </row>
    <row r="776" spans="1:11" x14ac:dyDescent="0.3">
      <c r="A776" s="326" t="s">
        <v>2102</v>
      </c>
      <c r="B776" t="s">
        <v>2103</v>
      </c>
      <c r="C776" s="327"/>
      <c r="D776" s="326" t="str">
        <f t="shared" si="16"/>
        <v>NACE L - 66.2 Activities auxiliary to insurance and pension funding</v>
      </c>
      <c r="K776" t="s">
        <v>5415</v>
      </c>
    </row>
    <row r="777" spans="1:11" x14ac:dyDescent="0.3">
      <c r="A777" s="327" t="s">
        <v>2104</v>
      </c>
      <c r="B777" t="s">
        <v>2105</v>
      </c>
      <c r="C777" s="327"/>
      <c r="D777" s="327" t="str">
        <f t="shared" si="16"/>
        <v>NACE L - 66.21 Risk and damage evaluation</v>
      </c>
      <c r="K777" t="s">
        <v>5416</v>
      </c>
    </row>
    <row r="778" spans="1:11" x14ac:dyDescent="0.3">
      <c r="A778" s="327" t="s">
        <v>2106</v>
      </c>
      <c r="B778" t="s">
        <v>2107</v>
      </c>
      <c r="C778" s="327"/>
      <c r="D778" s="327" t="str">
        <f t="shared" si="16"/>
        <v>NACE L - 66.22 Activities of insurance agents and brokers</v>
      </c>
      <c r="K778" t="s">
        <v>5417</v>
      </c>
    </row>
    <row r="779" spans="1:11" x14ac:dyDescent="0.3">
      <c r="A779" s="327" t="s">
        <v>2108</v>
      </c>
      <c r="B779" t="s">
        <v>2109</v>
      </c>
      <c r="C779" s="327"/>
      <c r="D779" s="327" t="str">
        <f t="shared" si="16"/>
        <v>NACE L - 66.29 Activities auxiliary to insurance and pension funding n.e.c.</v>
      </c>
      <c r="K779" t="s">
        <v>5418</v>
      </c>
    </row>
    <row r="780" spans="1:11" x14ac:dyDescent="0.3">
      <c r="A780" s="326" t="s">
        <v>2110</v>
      </c>
      <c r="B780" t="s">
        <v>2111</v>
      </c>
      <c r="C780" s="327"/>
      <c r="D780" s="326" t="str">
        <f t="shared" si="16"/>
        <v>NACE L - 66.3 Fund management activities</v>
      </c>
      <c r="K780" t="s">
        <v>5419</v>
      </c>
    </row>
    <row r="781" spans="1:11" x14ac:dyDescent="0.3">
      <c r="A781" s="327" t="s">
        <v>2112</v>
      </c>
      <c r="B781" t="s">
        <v>2113</v>
      </c>
      <c r="C781" s="327"/>
      <c r="D781" s="327" t="str">
        <f t="shared" si="16"/>
        <v>NACE L - 66.30 Fund management activities</v>
      </c>
      <c r="K781" t="s">
        <v>5420</v>
      </c>
    </row>
    <row r="782" spans="1:11" x14ac:dyDescent="0.3">
      <c r="A782" s="324" t="s">
        <v>2114</v>
      </c>
      <c r="B782" t="s">
        <v>2115</v>
      </c>
      <c r="C782" s="327"/>
      <c r="D782" s="324" t="str">
        <f t="shared" si="16"/>
        <v>NACE M - REAL ESTATE ACTIVITIES</v>
      </c>
      <c r="K782" t="s">
        <v>5421</v>
      </c>
    </row>
    <row r="783" spans="1:11" x14ac:dyDescent="0.3">
      <c r="A783" s="323" t="s">
        <v>2116</v>
      </c>
      <c r="B783" t="s">
        <v>2117</v>
      </c>
      <c r="C783" s="327"/>
      <c r="D783" s="323" t="str">
        <f t="shared" si="16"/>
        <v>NACE M - 68 Real estate activities</v>
      </c>
      <c r="K783" t="s">
        <v>5422</v>
      </c>
    </row>
    <row r="784" spans="1:11" x14ac:dyDescent="0.3">
      <c r="A784" s="326" t="s">
        <v>2118</v>
      </c>
      <c r="B784" t="s">
        <v>2119</v>
      </c>
      <c r="C784" s="327"/>
      <c r="D784" s="326" t="str">
        <f t="shared" si="16"/>
        <v>NACE M - 68.1 Real estate activities with own property and development of building projects</v>
      </c>
      <c r="K784" t="s">
        <v>5423</v>
      </c>
    </row>
    <row r="785" spans="1:11" x14ac:dyDescent="0.3">
      <c r="A785" s="327" t="s">
        <v>2120</v>
      </c>
      <c r="B785" t="s">
        <v>2121</v>
      </c>
      <c r="C785" s="327"/>
      <c r="D785" s="327" t="str">
        <f t="shared" si="16"/>
        <v>NACE M - 68.11 Buying and selling of own real estate</v>
      </c>
      <c r="K785" t="s">
        <v>5424</v>
      </c>
    </row>
    <row r="786" spans="1:11" x14ac:dyDescent="0.3">
      <c r="A786" s="327" t="s">
        <v>2122</v>
      </c>
      <c r="B786" t="s">
        <v>2123</v>
      </c>
      <c r="C786" s="327"/>
      <c r="D786" s="327" t="str">
        <f t="shared" si="16"/>
        <v>NACE M - 68.12 Development of building projects</v>
      </c>
      <c r="K786" t="s">
        <v>5425</v>
      </c>
    </row>
    <row r="787" spans="1:11" x14ac:dyDescent="0.3">
      <c r="A787" s="326" t="s">
        <v>2124</v>
      </c>
      <c r="B787" t="s">
        <v>2125</v>
      </c>
      <c r="C787" s="327"/>
      <c r="D787" s="326" t="str">
        <f t="shared" si="16"/>
        <v>NACE M - 68.2 Rental and operating of own or leased real estate</v>
      </c>
      <c r="K787" t="s">
        <v>5426</v>
      </c>
    </row>
    <row r="788" spans="1:11" x14ac:dyDescent="0.3">
      <c r="A788" s="327" t="s">
        <v>2126</v>
      </c>
      <c r="B788" t="s">
        <v>2127</v>
      </c>
      <c r="C788" s="327"/>
      <c r="D788" s="327" t="str">
        <f t="shared" si="16"/>
        <v>NACE M - 68.20 Rental and operating of own or leased real estate</v>
      </c>
      <c r="K788" t="s">
        <v>5427</v>
      </c>
    </row>
    <row r="789" spans="1:11" x14ac:dyDescent="0.3">
      <c r="A789" s="326" t="s">
        <v>2128</v>
      </c>
      <c r="B789" t="s">
        <v>2129</v>
      </c>
      <c r="C789" s="327"/>
      <c r="D789" s="326" t="str">
        <f t="shared" si="16"/>
        <v>NACE M - 68.3 Real estate activities on a fee or contract basis</v>
      </c>
      <c r="K789" t="s">
        <v>5428</v>
      </c>
    </row>
    <row r="790" spans="1:11" x14ac:dyDescent="0.3">
      <c r="A790" s="327" t="s">
        <v>2130</v>
      </c>
      <c r="B790" t="s">
        <v>2131</v>
      </c>
      <c r="C790" s="327"/>
      <c r="D790" s="327" t="str">
        <f t="shared" si="16"/>
        <v>NACE M - 68.31 Intermediation service activities for real estate activities</v>
      </c>
      <c r="K790" t="s">
        <v>5429</v>
      </c>
    </row>
    <row r="791" spans="1:11" x14ac:dyDescent="0.3">
      <c r="A791" s="327" t="s">
        <v>2132</v>
      </c>
      <c r="B791" t="s">
        <v>2133</v>
      </c>
      <c r="C791" s="327"/>
      <c r="D791" s="327" t="str">
        <f t="shared" si="16"/>
        <v>NACE M - 68.32 Other real estate activities on a fee or contract basis</v>
      </c>
      <c r="K791" t="s">
        <v>5430</v>
      </c>
    </row>
    <row r="792" spans="1:11" x14ac:dyDescent="0.3">
      <c r="A792" s="324" t="s">
        <v>2134</v>
      </c>
      <c r="B792" t="s">
        <v>2135</v>
      </c>
      <c r="C792" s="327"/>
      <c r="D792" s="324" t="str">
        <f t="shared" si="16"/>
        <v>NACE N - PROFESSIONAL, SCIENTIFIC AND TECHNICAL ACTIVITIES</v>
      </c>
      <c r="K792" t="s">
        <v>5431</v>
      </c>
    </row>
    <row r="793" spans="1:11" x14ac:dyDescent="0.3">
      <c r="A793" s="323" t="s">
        <v>2136</v>
      </c>
      <c r="B793" t="s">
        <v>2137</v>
      </c>
      <c r="C793" s="327"/>
      <c r="D793" s="323" t="str">
        <f t="shared" si="16"/>
        <v>NACE N - 69 Legal and accounting activities</v>
      </c>
      <c r="K793" t="s">
        <v>5432</v>
      </c>
    </row>
    <row r="794" spans="1:11" x14ac:dyDescent="0.3">
      <c r="A794" s="326" t="s">
        <v>2138</v>
      </c>
      <c r="B794" t="s">
        <v>2139</v>
      </c>
      <c r="C794" s="327"/>
      <c r="D794" s="326" t="str">
        <f t="shared" si="16"/>
        <v>NACE N - 69.1 Legal activities</v>
      </c>
      <c r="K794" t="s">
        <v>5433</v>
      </c>
    </row>
    <row r="795" spans="1:11" x14ac:dyDescent="0.3">
      <c r="A795" s="327" t="s">
        <v>2140</v>
      </c>
      <c r="B795" t="s">
        <v>2141</v>
      </c>
      <c r="C795" s="327"/>
      <c r="D795" s="327" t="str">
        <f t="shared" si="16"/>
        <v>NACE N - 69.10 Legal activities</v>
      </c>
      <c r="K795" t="s">
        <v>5434</v>
      </c>
    </row>
    <row r="796" spans="1:11" x14ac:dyDescent="0.3">
      <c r="A796" s="326" t="s">
        <v>2142</v>
      </c>
      <c r="B796" t="s">
        <v>2143</v>
      </c>
      <c r="C796" s="327"/>
      <c r="D796" s="326" t="str">
        <f t="shared" si="16"/>
        <v>NACE N - 69.2 Accounting, bookkeeping and auditing activities; tax consultancy</v>
      </c>
      <c r="K796" t="s">
        <v>5435</v>
      </c>
    </row>
    <row r="797" spans="1:11" x14ac:dyDescent="0.3">
      <c r="A797" s="327" t="s">
        <v>2144</v>
      </c>
      <c r="B797" t="s">
        <v>2145</v>
      </c>
      <c r="C797" s="327"/>
      <c r="D797" s="327" t="str">
        <f t="shared" si="16"/>
        <v>NACE N - 69.20 Accounting, bookkeeping and auditing activities; tax consultancy</v>
      </c>
      <c r="K797" t="s">
        <v>5436</v>
      </c>
    </row>
    <row r="798" spans="1:11" x14ac:dyDescent="0.3">
      <c r="A798" s="323" t="s">
        <v>2146</v>
      </c>
      <c r="B798" t="s">
        <v>2147</v>
      </c>
      <c r="C798" s="327"/>
      <c r="D798" s="323" t="str">
        <f t="shared" si="16"/>
        <v>NACE N - 70 Activities of head offices and management consultancy</v>
      </c>
      <c r="K798" t="s">
        <v>5437</v>
      </c>
    </row>
    <row r="799" spans="1:11" x14ac:dyDescent="0.3">
      <c r="A799" s="326" t="s">
        <v>2148</v>
      </c>
      <c r="B799" t="s">
        <v>2149</v>
      </c>
      <c r="C799" s="327"/>
      <c r="D799" s="326" t="str">
        <f t="shared" si="16"/>
        <v>NACE N - 70.1 Activities of head offices</v>
      </c>
      <c r="K799" t="s">
        <v>4654</v>
      </c>
    </row>
    <row r="800" spans="1:11" x14ac:dyDescent="0.3">
      <c r="A800" s="327" t="s">
        <v>2150</v>
      </c>
      <c r="B800" t="s">
        <v>2151</v>
      </c>
      <c r="C800" s="327"/>
      <c r="D800" s="327" t="str">
        <f t="shared" si="16"/>
        <v>NACE N - 70.10 Activities of head offices</v>
      </c>
      <c r="K800" t="s">
        <v>5438</v>
      </c>
    </row>
    <row r="801" spans="1:11" x14ac:dyDescent="0.3">
      <c r="A801" s="326" t="s">
        <v>2152</v>
      </c>
      <c r="B801" t="s">
        <v>2153</v>
      </c>
      <c r="C801" s="327"/>
      <c r="D801" s="326" t="str">
        <f t="shared" si="16"/>
        <v>NACE N - 70.2 Business and other management consultancy activities</v>
      </c>
      <c r="K801" t="s">
        <v>5439</v>
      </c>
    </row>
    <row r="802" spans="1:11" x14ac:dyDescent="0.3">
      <c r="A802" s="327" t="s">
        <v>2154</v>
      </c>
      <c r="B802" t="s">
        <v>2155</v>
      </c>
      <c r="C802" s="327"/>
      <c r="D802" s="327" t="str">
        <f t="shared" si="16"/>
        <v>NACE N - 70.20 Business and other management consultancy activities</v>
      </c>
      <c r="K802" t="s">
        <v>5440</v>
      </c>
    </row>
    <row r="803" spans="1:11" x14ac:dyDescent="0.3">
      <c r="A803" s="323" t="s">
        <v>2156</v>
      </c>
      <c r="B803" t="s">
        <v>2157</v>
      </c>
      <c r="C803" s="327"/>
      <c r="D803" s="323" t="str">
        <f t="shared" si="16"/>
        <v>NACE N - 71 Architectural and engineering activities; technical testing and analysis</v>
      </c>
      <c r="K803" t="s">
        <v>5441</v>
      </c>
    </row>
    <row r="804" spans="1:11" x14ac:dyDescent="0.3">
      <c r="A804" s="326" t="s">
        <v>2158</v>
      </c>
      <c r="B804" t="s">
        <v>2159</v>
      </c>
      <c r="C804" s="327"/>
      <c r="D804" s="326" t="str">
        <f t="shared" si="16"/>
        <v>NACE N - 71.1 Architectural and engineering activities and related technical consultancy</v>
      </c>
      <c r="K804" t="s">
        <v>5442</v>
      </c>
    </row>
    <row r="805" spans="1:11" x14ac:dyDescent="0.3">
      <c r="A805" s="327" t="s">
        <v>2160</v>
      </c>
      <c r="B805" t="s">
        <v>2161</v>
      </c>
      <c r="C805" s="327"/>
      <c r="D805" s="327" t="str">
        <f t="shared" si="16"/>
        <v>NACE N - 71.11 Architectural activities</v>
      </c>
      <c r="K805" t="s">
        <v>5443</v>
      </c>
    </row>
    <row r="806" spans="1:11" x14ac:dyDescent="0.3">
      <c r="A806" s="327" t="s">
        <v>2162</v>
      </c>
      <c r="B806" t="s">
        <v>2163</v>
      </c>
      <c r="C806" s="327"/>
      <c r="D806" s="327" t="str">
        <f t="shared" si="16"/>
        <v>NACE N - 71.12 Engineering activities and related technical consultancy</v>
      </c>
      <c r="K806" t="s">
        <v>5444</v>
      </c>
    </row>
    <row r="807" spans="1:11" x14ac:dyDescent="0.3">
      <c r="A807" s="326" t="s">
        <v>2164</v>
      </c>
      <c r="B807" t="s">
        <v>2165</v>
      </c>
      <c r="C807" s="327"/>
      <c r="D807" s="326" t="str">
        <f t="shared" si="16"/>
        <v>NACE N - 71.2 Technical testing and analysis</v>
      </c>
      <c r="K807" t="s">
        <v>5445</v>
      </c>
    </row>
    <row r="808" spans="1:11" x14ac:dyDescent="0.3">
      <c r="A808" s="327" t="s">
        <v>2166</v>
      </c>
      <c r="B808" t="s">
        <v>2167</v>
      </c>
      <c r="C808" s="327"/>
      <c r="D808" s="327" t="str">
        <f t="shared" si="16"/>
        <v>NACE N - 71.20 Technical testing and analysis</v>
      </c>
      <c r="K808" t="s">
        <v>5446</v>
      </c>
    </row>
    <row r="809" spans="1:11" x14ac:dyDescent="0.3">
      <c r="A809" s="323" t="s">
        <v>2168</v>
      </c>
      <c r="B809" t="s">
        <v>2169</v>
      </c>
      <c r="C809" s="327"/>
      <c r="D809" s="323" t="str">
        <f t="shared" si="16"/>
        <v>NACE N - 72 Scientific research and development</v>
      </c>
      <c r="K809" t="s">
        <v>5447</v>
      </c>
    </row>
    <row r="810" spans="1:11" x14ac:dyDescent="0.3">
      <c r="A810" s="326" t="s">
        <v>2170</v>
      </c>
      <c r="B810" t="s">
        <v>2171</v>
      </c>
      <c r="C810" s="327"/>
      <c r="D810" s="326" t="str">
        <f t="shared" si="16"/>
        <v>NACE N - 72.1 Research and experimental development on natural sciences and engineering</v>
      </c>
      <c r="K810" t="s">
        <v>5448</v>
      </c>
    </row>
    <row r="811" spans="1:11" x14ac:dyDescent="0.3">
      <c r="A811" s="327" t="s">
        <v>2172</v>
      </c>
      <c r="B811" t="s">
        <v>2173</v>
      </c>
      <c r="C811" s="327"/>
      <c r="D811" s="327" t="str">
        <f t="shared" si="16"/>
        <v>NACE N - 72.10 Research and experimental development on natural sciences and engineering</v>
      </c>
      <c r="K811" t="s">
        <v>5449</v>
      </c>
    </row>
    <row r="812" spans="1:11" x14ac:dyDescent="0.3">
      <c r="A812" s="326" t="s">
        <v>2174</v>
      </c>
      <c r="B812" t="s">
        <v>2175</v>
      </c>
      <c r="C812" s="327"/>
      <c r="D812" s="326" t="str">
        <f t="shared" si="16"/>
        <v>NACE N - 72.2 Research and experimental development on social sciences and humanities</v>
      </c>
      <c r="K812" t="s">
        <v>5450</v>
      </c>
    </row>
    <row r="813" spans="1:11" x14ac:dyDescent="0.3">
      <c r="A813" s="327" t="s">
        <v>2176</v>
      </c>
      <c r="B813" t="s">
        <v>2177</v>
      </c>
      <c r="C813" s="327"/>
      <c r="D813" s="327" t="str">
        <f t="shared" si="16"/>
        <v>NACE N - 72.20 Research and experimental development on social sciences and humanities</v>
      </c>
      <c r="K813" t="s">
        <v>5451</v>
      </c>
    </row>
    <row r="814" spans="1:11" x14ac:dyDescent="0.3">
      <c r="A814" s="323" t="s">
        <v>2178</v>
      </c>
      <c r="B814" t="s">
        <v>2179</v>
      </c>
      <c r="C814" s="327"/>
      <c r="D814" s="323" t="str">
        <f t="shared" si="16"/>
        <v>NACE N - 73 Activities of advertising, market research and public relations</v>
      </c>
      <c r="K814" t="s">
        <v>5452</v>
      </c>
    </row>
    <row r="815" spans="1:11" x14ac:dyDescent="0.3">
      <c r="A815" s="326" t="s">
        <v>2180</v>
      </c>
      <c r="B815" t="s">
        <v>2181</v>
      </c>
      <c r="C815" s="327"/>
      <c r="D815" s="326" t="str">
        <f t="shared" si="16"/>
        <v>NACE N - 73.1 Advertising</v>
      </c>
      <c r="K815" t="s">
        <v>5453</v>
      </c>
    </row>
    <row r="816" spans="1:11" x14ac:dyDescent="0.3">
      <c r="A816" s="327" t="s">
        <v>2182</v>
      </c>
      <c r="B816" t="s">
        <v>2183</v>
      </c>
      <c r="C816" s="327"/>
      <c r="D816" s="327" t="str">
        <f t="shared" si="16"/>
        <v>NACE N - 73.11 Activities of advertising agencies</v>
      </c>
      <c r="K816" t="s">
        <v>5454</v>
      </c>
    </row>
    <row r="817" spans="1:11" x14ac:dyDescent="0.3">
      <c r="A817" s="327" t="s">
        <v>2184</v>
      </c>
      <c r="B817" t="s">
        <v>2185</v>
      </c>
      <c r="C817" s="327"/>
      <c r="D817" s="327" t="str">
        <f t="shared" si="16"/>
        <v>NACE N - 73.12 Media representation</v>
      </c>
      <c r="K817" t="s">
        <v>5455</v>
      </c>
    </row>
    <row r="818" spans="1:11" x14ac:dyDescent="0.3">
      <c r="A818" s="326" t="s">
        <v>2186</v>
      </c>
      <c r="B818" t="s">
        <v>2187</v>
      </c>
      <c r="C818" s="327"/>
      <c r="D818" s="326" t="str">
        <f t="shared" si="16"/>
        <v>NACE N - 73.2 Market research and public opinion polling</v>
      </c>
      <c r="K818" t="s">
        <v>4655</v>
      </c>
    </row>
    <row r="819" spans="1:11" x14ac:dyDescent="0.3">
      <c r="A819" s="327" t="s">
        <v>2188</v>
      </c>
      <c r="B819" t="s">
        <v>2189</v>
      </c>
      <c r="C819" s="327"/>
      <c r="D819" s="327" t="str">
        <f t="shared" si="16"/>
        <v>NACE N - 73.20 Market research and public opinion polling</v>
      </c>
      <c r="K819" t="s">
        <v>5456</v>
      </c>
    </row>
    <row r="820" spans="1:11" x14ac:dyDescent="0.3">
      <c r="A820" s="326" t="s">
        <v>2190</v>
      </c>
      <c r="B820" t="s">
        <v>2191</v>
      </c>
      <c r="C820" s="327"/>
      <c r="D820" s="326" t="str">
        <f t="shared" si="16"/>
        <v>NACE N - 73.3 Public relations and communication activities</v>
      </c>
      <c r="K820" t="s">
        <v>5457</v>
      </c>
    </row>
    <row r="821" spans="1:11" x14ac:dyDescent="0.3">
      <c r="A821" s="327" t="s">
        <v>2192</v>
      </c>
      <c r="B821" t="s">
        <v>2193</v>
      </c>
      <c r="C821" s="327"/>
      <c r="D821" s="327" t="str">
        <f t="shared" si="16"/>
        <v>NACE N - 73.30 Public relations and communication activities</v>
      </c>
      <c r="K821" t="s">
        <v>5458</v>
      </c>
    </row>
    <row r="822" spans="1:11" x14ac:dyDescent="0.3">
      <c r="A822" s="323" t="s">
        <v>2194</v>
      </c>
      <c r="B822" t="s">
        <v>2195</v>
      </c>
      <c r="C822" s="327"/>
      <c r="D822" s="323" t="str">
        <f t="shared" si="16"/>
        <v>NACE N - 74 Other professional, scientific and technical activities</v>
      </c>
      <c r="K822" t="s">
        <v>5459</v>
      </c>
    </row>
    <row r="823" spans="1:11" x14ac:dyDescent="0.3">
      <c r="A823" s="326" t="s">
        <v>2196</v>
      </c>
      <c r="B823" t="s">
        <v>2197</v>
      </c>
      <c r="C823" s="327"/>
      <c r="D823" s="326" t="str">
        <f t="shared" si="16"/>
        <v>NACE N - 74.1 Specialised design activities</v>
      </c>
      <c r="K823" t="s">
        <v>5460</v>
      </c>
    </row>
    <row r="824" spans="1:11" x14ac:dyDescent="0.3">
      <c r="A824" s="327" t="s">
        <v>2198</v>
      </c>
      <c r="B824" t="s">
        <v>2199</v>
      </c>
      <c r="C824" s="327"/>
      <c r="D824" s="327" t="str">
        <f t="shared" si="16"/>
        <v>NACE N - 74.11 Industrial product and fashion design activities</v>
      </c>
      <c r="K824" t="s">
        <v>5461</v>
      </c>
    </row>
    <row r="825" spans="1:11" x14ac:dyDescent="0.3">
      <c r="A825" s="327" t="s">
        <v>2200</v>
      </c>
      <c r="B825" t="s">
        <v>2201</v>
      </c>
      <c r="C825" s="327"/>
      <c r="D825" s="327" t="str">
        <f t="shared" si="16"/>
        <v>NACE N - 74.12 Graphic design and visual communication activities</v>
      </c>
      <c r="K825" t="s">
        <v>5462</v>
      </c>
    </row>
    <row r="826" spans="1:11" x14ac:dyDescent="0.3">
      <c r="A826" s="327" t="s">
        <v>2202</v>
      </c>
      <c r="B826" t="s">
        <v>2203</v>
      </c>
      <c r="C826" s="327"/>
      <c r="D826" s="327" t="str">
        <f t="shared" si="16"/>
        <v>NACE N - 74.13 Interior design activities</v>
      </c>
      <c r="K826" t="s">
        <v>5463</v>
      </c>
    </row>
    <row r="827" spans="1:11" x14ac:dyDescent="0.3">
      <c r="A827" s="327" t="s">
        <v>2204</v>
      </c>
      <c r="B827" t="s">
        <v>2205</v>
      </c>
      <c r="C827" s="327"/>
      <c r="D827" s="327" t="str">
        <f t="shared" si="16"/>
        <v>NACE N - 74.14 Other specialised design activities</v>
      </c>
      <c r="K827" t="s">
        <v>5464</v>
      </c>
    </row>
    <row r="828" spans="1:11" x14ac:dyDescent="0.3">
      <c r="A828" s="326" t="s">
        <v>2206</v>
      </c>
      <c r="B828" t="s">
        <v>2207</v>
      </c>
      <c r="C828" s="327"/>
      <c r="D828" s="326" t="str">
        <f t="shared" si="16"/>
        <v>NACE N - 74.2 Photographic activities</v>
      </c>
      <c r="K828" t="s">
        <v>5465</v>
      </c>
    </row>
    <row r="829" spans="1:11" x14ac:dyDescent="0.3">
      <c r="A829" s="327" t="s">
        <v>2208</v>
      </c>
      <c r="B829" t="s">
        <v>2209</v>
      </c>
      <c r="C829" s="327"/>
      <c r="D829" s="327" t="str">
        <f t="shared" si="16"/>
        <v>NACE N - 74.20 Photographic activities</v>
      </c>
      <c r="K829" t="s">
        <v>5466</v>
      </c>
    </row>
    <row r="830" spans="1:11" x14ac:dyDescent="0.3">
      <c r="A830" s="326" t="s">
        <v>2210</v>
      </c>
      <c r="B830" t="s">
        <v>2211</v>
      </c>
      <c r="C830" s="327"/>
      <c r="D830" s="326" t="str">
        <f t="shared" si="16"/>
        <v>NACE N - 74.3 Translation and interpretation activities</v>
      </c>
      <c r="K830" t="s">
        <v>5467</v>
      </c>
    </row>
    <row r="831" spans="1:11" x14ac:dyDescent="0.3">
      <c r="A831" s="327" t="s">
        <v>2212</v>
      </c>
      <c r="B831" t="s">
        <v>2213</v>
      </c>
      <c r="C831" s="327"/>
      <c r="D831" s="327" t="str">
        <f t="shared" si="16"/>
        <v>NACE N - 74.30 Translation and interpretation activities</v>
      </c>
      <c r="K831" t="s">
        <v>5468</v>
      </c>
    </row>
    <row r="832" spans="1:11" x14ac:dyDescent="0.3">
      <c r="A832" s="326" t="s">
        <v>2214</v>
      </c>
      <c r="B832" t="s">
        <v>2215</v>
      </c>
      <c r="C832" s="327"/>
      <c r="D832" s="326" t="str">
        <f t="shared" si="16"/>
        <v>NACE N - 74.9 Other professional, scientific and technical activities n.e.c.</v>
      </c>
      <c r="K832" t="s">
        <v>5469</v>
      </c>
    </row>
    <row r="833" spans="1:11" x14ac:dyDescent="0.3">
      <c r="A833" s="327" t="s">
        <v>2216</v>
      </c>
      <c r="B833" t="s">
        <v>2217</v>
      </c>
      <c r="C833" s="327"/>
      <c r="D833" s="327" t="str">
        <f t="shared" si="16"/>
        <v>NACE N - 74.91 Patent brokering and marketing service activities</v>
      </c>
      <c r="K833" t="s">
        <v>5470</v>
      </c>
    </row>
    <row r="834" spans="1:11" x14ac:dyDescent="0.3">
      <c r="A834" s="327" t="s">
        <v>2218</v>
      </c>
      <c r="B834" t="s">
        <v>2219</v>
      </c>
      <c r="C834" s="327"/>
      <c r="D834" s="327" t="str">
        <f t="shared" ref="D834:D897" si="17">_xlfn.CONCAT("NACE ", A834)</f>
        <v>NACE N - 74.99 All other professional, scientific and technical activities n.e.c.</v>
      </c>
      <c r="K834" t="s">
        <v>5471</v>
      </c>
    </row>
    <row r="835" spans="1:11" x14ac:dyDescent="0.3">
      <c r="A835" s="323" t="s">
        <v>2220</v>
      </c>
      <c r="B835" t="s">
        <v>2221</v>
      </c>
      <c r="C835" s="327"/>
      <c r="D835" s="323" t="str">
        <f t="shared" si="17"/>
        <v>NACE N - 75 Veterinary activities</v>
      </c>
      <c r="K835" t="s">
        <v>5472</v>
      </c>
    </row>
    <row r="836" spans="1:11" x14ac:dyDescent="0.3">
      <c r="A836" s="326" t="s">
        <v>2222</v>
      </c>
      <c r="B836" t="s">
        <v>2223</v>
      </c>
      <c r="C836" s="327"/>
      <c r="D836" s="326" t="str">
        <f t="shared" si="17"/>
        <v>NACE N - 75.0 Veterinary activities</v>
      </c>
      <c r="K836" t="s">
        <v>5473</v>
      </c>
    </row>
    <row r="837" spans="1:11" x14ac:dyDescent="0.3">
      <c r="A837" s="327" t="s">
        <v>2224</v>
      </c>
      <c r="B837" t="s">
        <v>2225</v>
      </c>
      <c r="C837" s="327"/>
      <c r="D837" s="327" t="str">
        <f t="shared" si="17"/>
        <v>NACE N - 75.00 Veterinary activities</v>
      </c>
      <c r="K837" t="s">
        <v>5474</v>
      </c>
    </row>
    <row r="838" spans="1:11" x14ac:dyDescent="0.3">
      <c r="A838" s="324" t="s">
        <v>2226</v>
      </c>
      <c r="B838" t="s">
        <v>2227</v>
      </c>
      <c r="C838" s="327"/>
      <c r="D838" s="324" t="str">
        <f t="shared" si="17"/>
        <v>NACE O - ADMINISTRATIVE AND SUPPORT SERVICE ACTIVITIES</v>
      </c>
      <c r="K838" t="s">
        <v>5475</v>
      </c>
    </row>
    <row r="839" spans="1:11" x14ac:dyDescent="0.3">
      <c r="A839" s="323" t="s">
        <v>2228</v>
      </c>
      <c r="B839" t="s">
        <v>2229</v>
      </c>
      <c r="C839" s="327"/>
      <c r="D839" s="323" t="str">
        <f t="shared" si="17"/>
        <v>NACE O - 77 Rental and leasing activities</v>
      </c>
      <c r="K839" t="s">
        <v>5476</v>
      </c>
    </row>
    <row r="840" spans="1:11" x14ac:dyDescent="0.3">
      <c r="A840" s="326" t="s">
        <v>2230</v>
      </c>
      <c r="B840" t="s">
        <v>2231</v>
      </c>
      <c r="C840" s="327"/>
      <c r="D840" s="326" t="str">
        <f t="shared" si="17"/>
        <v>NACE O - 77.1 Rental and leasing of motor vehicles</v>
      </c>
      <c r="K840" t="s">
        <v>5477</v>
      </c>
    </row>
    <row r="841" spans="1:11" x14ac:dyDescent="0.3">
      <c r="A841" s="327" t="s">
        <v>2232</v>
      </c>
      <c r="B841" t="s">
        <v>2233</v>
      </c>
      <c r="C841" s="327"/>
      <c r="D841" s="327" t="str">
        <f t="shared" si="17"/>
        <v>NACE O - 77.11 Rental and leasing of cars and light motor vehicles</v>
      </c>
      <c r="K841" t="s">
        <v>5478</v>
      </c>
    </row>
    <row r="842" spans="1:11" x14ac:dyDescent="0.3">
      <c r="A842" s="327" t="s">
        <v>2234</v>
      </c>
      <c r="B842" t="s">
        <v>2235</v>
      </c>
      <c r="C842" s="327"/>
      <c r="D842" s="327" t="str">
        <f t="shared" si="17"/>
        <v>NACE O - 77.12 Rental and leasing of trucks</v>
      </c>
      <c r="K842" t="s">
        <v>5479</v>
      </c>
    </row>
    <row r="843" spans="1:11" x14ac:dyDescent="0.3">
      <c r="A843" s="326" t="s">
        <v>2236</v>
      </c>
      <c r="B843" t="s">
        <v>2237</v>
      </c>
      <c r="C843" s="327"/>
      <c r="D843" s="326" t="str">
        <f t="shared" si="17"/>
        <v>NACE O - 77.2 Rental and leasing of personal and household goods</v>
      </c>
      <c r="K843" t="s">
        <v>5480</v>
      </c>
    </row>
    <row r="844" spans="1:11" x14ac:dyDescent="0.3">
      <c r="A844" s="327" t="s">
        <v>2238</v>
      </c>
      <c r="B844" t="s">
        <v>2239</v>
      </c>
      <c r="C844" s="327"/>
      <c r="D844" s="327" t="str">
        <f t="shared" si="17"/>
        <v>NACE O - 77.21 Rental and leasing of recreational and sports goods</v>
      </c>
      <c r="K844" t="s">
        <v>5481</v>
      </c>
    </row>
    <row r="845" spans="1:11" x14ac:dyDescent="0.3">
      <c r="A845" s="327" t="s">
        <v>2240</v>
      </c>
      <c r="B845" t="s">
        <v>2241</v>
      </c>
      <c r="C845" s="327"/>
      <c r="D845" s="327" t="str">
        <f t="shared" si="17"/>
        <v>NACE O - 77.22 Rental and leasing of other personal and household goods</v>
      </c>
      <c r="K845" t="s">
        <v>5482</v>
      </c>
    </row>
    <row r="846" spans="1:11" x14ac:dyDescent="0.3">
      <c r="A846" s="326" t="s">
        <v>2242</v>
      </c>
      <c r="B846" t="s">
        <v>2243</v>
      </c>
      <c r="C846" s="327"/>
      <c r="D846" s="326" t="str">
        <f t="shared" si="17"/>
        <v>NACE O - 77.3 Rental and leasing of other machinery, equipment and tangible goods</v>
      </c>
      <c r="K846" t="s">
        <v>5483</v>
      </c>
    </row>
    <row r="847" spans="1:11" x14ac:dyDescent="0.3">
      <c r="A847" s="327" t="s">
        <v>2244</v>
      </c>
      <c r="B847" t="s">
        <v>2245</v>
      </c>
      <c r="C847" s="327"/>
      <c r="D847" s="327" t="str">
        <f t="shared" si="17"/>
        <v>NACE O - 77.31 Rental and leasing of agricultural machinery and equipment</v>
      </c>
      <c r="K847" t="s">
        <v>5484</v>
      </c>
    </row>
    <row r="848" spans="1:11" x14ac:dyDescent="0.3">
      <c r="A848" s="327" t="s">
        <v>2246</v>
      </c>
      <c r="B848" t="s">
        <v>2247</v>
      </c>
      <c r="C848" s="327"/>
      <c r="D848" s="327" t="str">
        <f t="shared" si="17"/>
        <v>NACE O - 77.32 Rental and leasing of construction and civil engineering machinery and equipment</v>
      </c>
      <c r="K848" t="s">
        <v>5485</v>
      </c>
    </row>
    <row r="849" spans="1:11" x14ac:dyDescent="0.3">
      <c r="A849" s="327" t="s">
        <v>2248</v>
      </c>
      <c r="B849" t="s">
        <v>2249</v>
      </c>
      <c r="C849" s="327"/>
      <c r="D849" s="327" t="str">
        <f t="shared" si="17"/>
        <v>NACE O - 77.33 Rental and leasing of office machinery, equipment and computers</v>
      </c>
      <c r="K849" t="s">
        <v>5486</v>
      </c>
    </row>
    <row r="850" spans="1:11" x14ac:dyDescent="0.3">
      <c r="A850" s="327" t="s">
        <v>2250</v>
      </c>
      <c r="B850" t="s">
        <v>2251</v>
      </c>
      <c r="C850" s="327"/>
      <c r="D850" s="327" t="str">
        <f t="shared" si="17"/>
        <v>NACE O - 77.34 Rental and leasing of water transport equipment</v>
      </c>
      <c r="K850" t="s">
        <v>5487</v>
      </c>
    </row>
    <row r="851" spans="1:11" x14ac:dyDescent="0.3">
      <c r="A851" s="327" t="s">
        <v>2252</v>
      </c>
      <c r="B851" t="s">
        <v>2253</v>
      </c>
      <c r="C851" s="327"/>
      <c r="D851" s="327" t="str">
        <f t="shared" si="17"/>
        <v>NACE O - 77.35 Rental and leasing of air transport equipment</v>
      </c>
      <c r="K851" t="s">
        <v>5488</v>
      </c>
    </row>
    <row r="852" spans="1:11" x14ac:dyDescent="0.3">
      <c r="A852" s="327" t="s">
        <v>2254</v>
      </c>
      <c r="B852" t="s">
        <v>2255</v>
      </c>
      <c r="C852" s="327"/>
      <c r="D852" s="327" t="str">
        <f t="shared" si="17"/>
        <v>NACE O - 77.39 Rental and leasing of other machinery, equipment and tangible goods n.e.c.</v>
      </c>
      <c r="K852" t="s">
        <v>5489</v>
      </c>
    </row>
    <row r="853" spans="1:11" x14ac:dyDescent="0.3">
      <c r="A853" s="326" t="s">
        <v>2256</v>
      </c>
      <c r="B853" t="s">
        <v>2257</v>
      </c>
      <c r="C853" s="327"/>
      <c r="D853" s="326" t="str">
        <f t="shared" si="17"/>
        <v>NACE O - 77.4 Leasing of intellectual property and similar products, except copyrighted works</v>
      </c>
      <c r="K853" t="s">
        <v>5490</v>
      </c>
    </row>
    <row r="854" spans="1:11" x14ac:dyDescent="0.3">
      <c r="A854" s="327" t="s">
        <v>2258</v>
      </c>
      <c r="B854" t="s">
        <v>2259</v>
      </c>
      <c r="C854" s="327"/>
      <c r="D854" s="327" t="str">
        <f t="shared" si="17"/>
        <v>NACE O - 77.40 Leasing of intellectual property and similar products, except copyrighted works</v>
      </c>
      <c r="K854" t="s">
        <v>5491</v>
      </c>
    </row>
    <row r="855" spans="1:11" x14ac:dyDescent="0.3">
      <c r="A855" s="326" t="s">
        <v>2260</v>
      </c>
      <c r="B855" t="s">
        <v>2261</v>
      </c>
      <c r="C855" s="327"/>
      <c r="D855" s="326" t="str">
        <f t="shared" si="17"/>
        <v>NACE O - 77.5 Intermediation service activities for rental and leasing of tangible goods and non-financial intangible assets</v>
      </c>
      <c r="K855" t="s">
        <v>5492</v>
      </c>
    </row>
    <row r="856" spans="1:11" x14ac:dyDescent="0.3">
      <c r="A856" s="327" t="s">
        <v>2262</v>
      </c>
      <c r="B856" t="s">
        <v>2263</v>
      </c>
      <c r="C856" s="327"/>
      <c r="D856" s="327" t="str">
        <f t="shared" si="17"/>
        <v>NACE O - 77.51 Intermediation service activities for rental and leasing of cars, motorhomes and trailers</v>
      </c>
      <c r="K856" t="s">
        <v>5493</v>
      </c>
    </row>
    <row r="857" spans="1:11" x14ac:dyDescent="0.3">
      <c r="A857" s="327" t="s">
        <v>2264</v>
      </c>
      <c r="B857" t="s">
        <v>2265</v>
      </c>
      <c r="C857" s="327"/>
      <c r="D857" s="327" t="str">
        <f t="shared" si="17"/>
        <v>NACE O - 77.52 Intermediation service activities for rental and leasing of other tangible goods and non-financial intangible assets</v>
      </c>
      <c r="K857" t="s">
        <v>5494</v>
      </c>
    </row>
    <row r="858" spans="1:11" x14ac:dyDescent="0.3">
      <c r="A858" s="323" t="s">
        <v>2266</v>
      </c>
      <c r="B858" t="s">
        <v>2267</v>
      </c>
      <c r="C858" s="327"/>
      <c r="D858" s="323" t="str">
        <f t="shared" si="17"/>
        <v>NACE O - 78 Employment activities</v>
      </c>
      <c r="K858" t="s">
        <v>5495</v>
      </c>
    </row>
    <row r="859" spans="1:11" x14ac:dyDescent="0.3">
      <c r="A859" s="326" t="s">
        <v>2268</v>
      </c>
      <c r="B859" t="s">
        <v>2269</v>
      </c>
      <c r="C859" s="327"/>
      <c r="D859" s="326" t="str">
        <f t="shared" si="17"/>
        <v>NACE O - 78.1 Activities of employment placement agencies</v>
      </c>
      <c r="K859" t="s">
        <v>5496</v>
      </c>
    </row>
    <row r="860" spans="1:11" x14ac:dyDescent="0.3">
      <c r="A860" s="327" t="s">
        <v>2270</v>
      </c>
      <c r="B860" t="s">
        <v>2271</v>
      </c>
      <c r="C860" s="327"/>
      <c r="D860" s="327" t="str">
        <f t="shared" si="17"/>
        <v>NACE O - 78.10 Activities of employment placement agencies</v>
      </c>
      <c r="K860" t="s">
        <v>5497</v>
      </c>
    </row>
    <row r="861" spans="1:11" x14ac:dyDescent="0.3">
      <c r="A861" s="326" t="s">
        <v>2272</v>
      </c>
      <c r="B861" t="s">
        <v>2273</v>
      </c>
      <c r="C861" s="327"/>
      <c r="D861" s="326" t="str">
        <f t="shared" si="17"/>
        <v>NACE O - 78.2 Temporary employment agency activities and other human resource provisions</v>
      </c>
      <c r="K861" t="s">
        <v>5498</v>
      </c>
    </row>
    <row r="862" spans="1:11" x14ac:dyDescent="0.3">
      <c r="A862" s="327" t="s">
        <v>2274</v>
      </c>
      <c r="B862" t="s">
        <v>2275</v>
      </c>
      <c r="C862" s="327"/>
      <c r="D862" s="327" t="str">
        <f t="shared" si="17"/>
        <v>NACE O - 78.20 Temporary employment agency activities and other human resource provisions</v>
      </c>
      <c r="K862" t="s">
        <v>5499</v>
      </c>
    </row>
    <row r="863" spans="1:11" x14ac:dyDescent="0.3">
      <c r="A863" s="323" t="s">
        <v>2276</v>
      </c>
      <c r="B863" t="s">
        <v>2277</v>
      </c>
      <c r="C863" s="327"/>
      <c r="D863" s="323" t="str">
        <f t="shared" si="17"/>
        <v>NACE O - 79 Travel agency, tour operator and other reservation service and related activities</v>
      </c>
      <c r="K863" t="s">
        <v>5500</v>
      </c>
    </row>
    <row r="864" spans="1:11" x14ac:dyDescent="0.3">
      <c r="A864" s="326" t="s">
        <v>2278</v>
      </c>
      <c r="B864" t="s">
        <v>2279</v>
      </c>
      <c r="C864" s="327"/>
      <c r="D864" s="326" t="str">
        <f t="shared" si="17"/>
        <v>NACE O - 79.1 Travel agency and tour operator activities</v>
      </c>
      <c r="K864" t="s">
        <v>5501</v>
      </c>
    </row>
    <row r="865" spans="1:11" x14ac:dyDescent="0.3">
      <c r="A865" s="327" t="s">
        <v>2280</v>
      </c>
      <c r="B865" t="s">
        <v>2281</v>
      </c>
      <c r="C865" s="327"/>
      <c r="D865" s="327" t="str">
        <f t="shared" si="17"/>
        <v>NACE O - 79.11 Travel agency activities</v>
      </c>
      <c r="K865" t="s">
        <v>5502</v>
      </c>
    </row>
    <row r="866" spans="1:11" x14ac:dyDescent="0.3">
      <c r="A866" s="327" t="s">
        <v>2282</v>
      </c>
      <c r="B866" t="s">
        <v>2283</v>
      </c>
      <c r="C866" s="327"/>
      <c r="D866" s="327" t="str">
        <f t="shared" si="17"/>
        <v>NACE O - 79.12 Tour operator activities</v>
      </c>
      <c r="K866" t="s">
        <v>5503</v>
      </c>
    </row>
    <row r="867" spans="1:11" x14ac:dyDescent="0.3">
      <c r="A867" s="326" t="s">
        <v>2284</v>
      </c>
      <c r="B867" t="s">
        <v>2285</v>
      </c>
      <c r="C867" s="327"/>
      <c r="D867" s="326" t="str">
        <f t="shared" si="17"/>
        <v>NACE O - 79.9 Other reservation service and related activities</v>
      </c>
      <c r="K867" t="s">
        <v>5504</v>
      </c>
    </row>
    <row r="868" spans="1:11" x14ac:dyDescent="0.3">
      <c r="A868" s="327" t="s">
        <v>2286</v>
      </c>
      <c r="B868" t="s">
        <v>2287</v>
      </c>
      <c r="C868" s="327"/>
      <c r="D868" s="327" t="str">
        <f t="shared" si="17"/>
        <v>NACE O - 79.90 Other reservation service and related activities</v>
      </c>
      <c r="K868" t="s">
        <v>5505</v>
      </c>
    </row>
    <row r="869" spans="1:11" x14ac:dyDescent="0.3">
      <c r="A869" s="323" t="s">
        <v>2288</v>
      </c>
      <c r="B869" t="s">
        <v>2289</v>
      </c>
      <c r="C869" s="327"/>
      <c r="D869" s="323" t="str">
        <f t="shared" si="17"/>
        <v>NACE O - 80 Investigation and security activities</v>
      </c>
      <c r="K869" t="s">
        <v>5506</v>
      </c>
    </row>
    <row r="870" spans="1:11" x14ac:dyDescent="0.3">
      <c r="A870" s="326" t="s">
        <v>2290</v>
      </c>
      <c r="B870" t="s">
        <v>2291</v>
      </c>
      <c r="C870" s="327"/>
      <c r="D870" s="326" t="str">
        <f t="shared" si="17"/>
        <v>NACE O - 80.0 Investigation and security activities</v>
      </c>
      <c r="K870" t="s">
        <v>5507</v>
      </c>
    </row>
    <row r="871" spans="1:11" x14ac:dyDescent="0.3">
      <c r="A871" s="327" t="s">
        <v>2292</v>
      </c>
      <c r="B871" t="s">
        <v>2293</v>
      </c>
      <c r="C871" s="327"/>
      <c r="D871" s="327" t="str">
        <f t="shared" si="17"/>
        <v>NACE O - 80.01 Investigation and private security activities</v>
      </c>
      <c r="K871" t="s">
        <v>5508</v>
      </c>
    </row>
    <row r="872" spans="1:11" x14ac:dyDescent="0.3">
      <c r="A872" s="327" t="s">
        <v>2294</v>
      </c>
      <c r="B872" t="s">
        <v>2295</v>
      </c>
      <c r="C872" s="327"/>
      <c r="D872" s="327" t="str">
        <f t="shared" si="17"/>
        <v>NACE O - 80.09 Security activities n.e.c.</v>
      </c>
      <c r="K872" t="s">
        <v>5509</v>
      </c>
    </row>
    <row r="873" spans="1:11" x14ac:dyDescent="0.3">
      <c r="A873" s="323" t="s">
        <v>2296</v>
      </c>
      <c r="B873" t="s">
        <v>2297</v>
      </c>
      <c r="C873" s="327"/>
      <c r="D873" s="323" t="str">
        <f t="shared" si="17"/>
        <v>NACE O - 81 Services to buildings and landscape activities</v>
      </c>
      <c r="K873" t="s">
        <v>5510</v>
      </c>
    </row>
    <row r="874" spans="1:11" x14ac:dyDescent="0.3">
      <c r="A874" s="326" t="s">
        <v>2298</v>
      </c>
      <c r="B874" t="s">
        <v>2299</v>
      </c>
      <c r="C874" s="327"/>
      <c r="D874" s="326" t="str">
        <f t="shared" si="17"/>
        <v>NACE O - 81.1 Combined facilities support activities</v>
      </c>
      <c r="K874" t="s">
        <v>5511</v>
      </c>
    </row>
    <row r="875" spans="1:11" x14ac:dyDescent="0.3">
      <c r="A875" s="327" t="s">
        <v>2300</v>
      </c>
      <c r="B875" t="s">
        <v>2301</v>
      </c>
      <c r="C875" s="327"/>
      <c r="D875" s="327" t="str">
        <f t="shared" si="17"/>
        <v>NACE O - 81.10 Combined facilities support activities</v>
      </c>
      <c r="K875" t="s">
        <v>5512</v>
      </c>
    </row>
    <row r="876" spans="1:11" x14ac:dyDescent="0.3">
      <c r="A876" s="326" t="s">
        <v>2302</v>
      </c>
      <c r="B876" t="s">
        <v>2303</v>
      </c>
      <c r="C876" s="327"/>
      <c r="D876" s="326" t="str">
        <f t="shared" si="17"/>
        <v>NACE O - 81.2 Cleaning activities</v>
      </c>
      <c r="K876" t="s">
        <v>5513</v>
      </c>
    </row>
    <row r="877" spans="1:11" x14ac:dyDescent="0.3">
      <c r="A877" s="327" t="s">
        <v>2304</v>
      </c>
      <c r="B877" t="s">
        <v>2305</v>
      </c>
      <c r="C877" s="327"/>
      <c r="D877" s="327" t="str">
        <f t="shared" si="17"/>
        <v>NACE O - 81.21 General cleaning of buildings</v>
      </c>
      <c r="K877" t="s">
        <v>5514</v>
      </c>
    </row>
    <row r="878" spans="1:11" x14ac:dyDescent="0.3">
      <c r="A878" s="327" t="s">
        <v>2306</v>
      </c>
      <c r="B878" t="s">
        <v>2307</v>
      </c>
      <c r="C878" s="327"/>
      <c r="D878" s="327" t="str">
        <f t="shared" si="17"/>
        <v>NACE O - 81.22 Other building and industrial cleaning activities</v>
      </c>
      <c r="K878" t="s">
        <v>5515</v>
      </c>
    </row>
    <row r="879" spans="1:11" x14ac:dyDescent="0.3">
      <c r="A879" s="327" t="s">
        <v>2308</v>
      </c>
      <c r="B879" t="s">
        <v>2309</v>
      </c>
      <c r="C879" s="327"/>
      <c r="D879" s="327" t="str">
        <f t="shared" si="17"/>
        <v>NACE O - 81.23 Other cleaning activities</v>
      </c>
      <c r="K879" t="s">
        <v>5516</v>
      </c>
    </row>
    <row r="880" spans="1:11" x14ac:dyDescent="0.3">
      <c r="A880" s="326" t="s">
        <v>2310</v>
      </c>
      <c r="B880" t="s">
        <v>2311</v>
      </c>
      <c r="C880" s="327"/>
      <c r="D880" s="326" t="str">
        <f t="shared" si="17"/>
        <v>NACE O - 81.3 Landscape service activities</v>
      </c>
      <c r="K880" t="s">
        <v>5517</v>
      </c>
    </row>
    <row r="881" spans="1:11" x14ac:dyDescent="0.3">
      <c r="A881" s="327" t="s">
        <v>2312</v>
      </c>
      <c r="B881" t="s">
        <v>2313</v>
      </c>
      <c r="C881" s="327"/>
      <c r="D881" s="327" t="str">
        <f t="shared" si="17"/>
        <v>NACE O - 81.30 Landscape service activities</v>
      </c>
      <c r="K881" t="s">
        <v>5518</v>
      </c>
    </row>
    <row r="882" spans="1:11" x14ac:dyDescent="0.3">
      <c r="A882" s="323" t="s">
        <v>2314</v>
      </c>
      <c r="B882" t="s">
        <v>2315</v>
      </c>
      <c r="C882" s="327"/>
      <c r="D882" s="323" t="str">
        <f t="shared" si="17"/>
        <v>NACE O - 82 Office administrative, office support and other business support activities</v>
      </c>
      <c r="K882" t="s">
        <v>5519</v>
      </c>
    </row>
    <row r="883" spans="1:11" x14ac:dyDescent="0.3">
      <c r="A883" s="326" t="s">
        <v>2316</v>
      </c>
      <c r="B883" t="s">
        <v>2317</v>
      </c>
      <c r="C883" s="327"/>
      <c r="D883" s="326" t="str">
        <f t="shared" si="17"/>
        <v>NACE O - 82.1 Office administrative and support activities</v>
      </c>
      <c r="K883" t="s">
        <v>5520</v>
      </c>
    </row>
    <row r="884" spans="1:11" x14ac:dyDescent="0.3">
      <c r="A884" s="327" t="s">
        <v>2318</v>
      </c>
      <c r="B884" t="s">
        <v>2319</v>
      </c>
      <c r="C884" s="327"/>
      <c r="D884" s="327" t="str">
        <f t="shared" si="17"/>
        <v>NACE O - 82.10 Office administrative and support activities</v>
      </c>
      <c r="K884" t="s">
        <v>5521</v>
      </c>
    </row>
    <row r="885" spans="1:11" x14ac:dyDescent="0.3">
      <c r="A885" s="326" t="s">
        <v>2320</v>
      </c>
      <c r="B885" t="s">
        <v>2321</v>
      </c>
      <c r="C885" s="327"/>
      <c r="D885" s="326" t="str">
        <f t="shared" si="17"/>
        <v>NACE O - 82.2 Activities of call centres</v>
      </c>
      <c r="K885" t="s">
        <v>5522</v>
      </c>
    </row>
    <row r="886" spans="1:11" x14ac:dyDescent="0.3">
      <c r="A886" s="327" t="s">
        <v>2322</v>
      </c>
      <c r="B886" t="s">
        <v>2323</v>
      </c>
      <c r="C886" s="327"/>
      <c r="D886" s="327" t="str">
        <f t="shared" si="17"/>
        <v>NACE O - 82.20 Activities of call centres</v>
      </c>
      <c r="K886" t="s">
        <v>5523</v>
      </c>
    </row>
    <row r="887" spans="1:11" x14ac:dyDescent="0.3">
      <c r="A887" s="326" t="s">
        <v>2324</v>
      </c>
      <c r="B887" t="s">
        <v>2325</v>
      </c>
      <c r="C887" s="327"/>
      <c r="D887" s="326" t="str">
        <f t="shared" si="17"/>
        <v>NACE O - 82.3 Organisation of conventions and trade shows</v>
      </c>
      <c r="K887" t="s">
        <v>5524</v>
      </c>
    </row>
    <row r="888" spans="1:11" x14ac:dyDescent="0.3">
      <c r="A888" s="327" t="s">
        <v>2326</v>
      </c>
      <c r="B888" t="s">
        <v>2327</v>
      </c>
      <c r="C888" s="327"/>
      <c r="D888" s="327" t="str">
        <f t="shared" si="17"/>
        <v>NACE O - 82.30 Organisation of conventions and trade shows</v>
      </c>
      <c r="K888" t="s">
        <v>5525</v>
      </c>
    </row>
    <row r="889" spans="1:11" x14ac:dyDescent="0.3">
      <c r="A889" s="326" t="s">
        <v>2328</v>
      </c>
      <c r="B889" t="s">
        <v>2329</v>
      </c>
      <c r="C889" s="327"/>
      <c r="D889" s="326" t="str">
        <f t="shared" si="17"/>
        <v>NACE O - 82.4 Intermediation service activities for business support service activities n.e.c.</v>
      </c>
      <c r="K889" t="s">
        <v>5526</v>
      </c>
    </row>
    <row r="890" spans="1:11" x14ac:dyDescent="0.3">
      <c r="A890" s="327" t="s">
        <v>2330</v>
      </c>
      <c r="B890" t="s">
        <v>2331</v>
      </c>
      <c r="C890" s="327"/>
      <c r="D890" s="327" t="str">
        <f t="shared" si="17"/>
        <v>NACE O - 82.40 Intermediation service activities for business support service activities n.e.c.</v>
      </c>
      <c r="K890" t="s">
        <v>5527</v>
      </c>
    </row>
    <row r="891" spans="1:11" x14ac:dyDescent="0.3">
      <c r="A891" s="326" t="s">
        <v>2332</v>
      </c>
      <c r="B891" t="s">
        <v>2333</v>
      </c>
      <c r="C891" s="327"/>
      <c r="D891" s="326" t="str">
        <f t="shared" si="17"/>
        <v>NACE O - 82.9 Business support service activities n.e.c.</v>
      </c>
      <c r="K891" t="s">
        <v>5528</v>
      </c>
    </row>
    <row r="892" spans="1:11" x14ac:dyDescent="0.3">
      <c r="A892" s="327" t="s">
        <v>2334</v>
      </c>
      <c r="B892" t="s">
        <v>2335</v>
      </c>
      <c r="C892" s="327"/>
      <c r="D892" s="327" t="str">
        <f t="shared" si="17"/>
        <v>NACE O - 82.91 Activities of collection agencies and credit bureaus</v>
      </c>
      <c r="K892" t="s">
        <v>5529</v>
      </c>
    </row>
    <row r="893" spans="1:11" x14ac:dyDescent="0.3">
      <c r="A893" s="327" t="s">
        <v>2336</v>
      </c>
      <c r="B893" t="s">
        <v>2337</v>
      </c>
      <c r="C893" s="327"/>
      <c r="D893" s="327" t="str">
        <f t="shared" si="17"/>
        <v>NACE O - 82.92 Packaging activities</v>
      </c>
      <c r="K893" t="s">
        <v>5530</v>
      </c>
    </row>
    <row r="894" spans="1:11" x14ac:dyDescent="0.3">
      <c r="A894" s="327" t="s">
        <v>2338</v>
      </c>
      <c r="B894" t="s">
        <v>2339</v>
      </c>
      <c r="C894" s="327"/>
      <c r="D894" s="327" t="str">
        <f t="shared" si="17"/>
        <v>NACE O - 82.99 Other business support service activities n.e.c.</v>
      </c>
      <c r="K894" t="s">
        <v>5531</v>
      </c>
    </row>
    <row r="895" spans="1:11" x14ac:dyDescent="0.3">
      <c r="A895" s="324" t="s">
        <v>2340</v>
      </c>
      <c r="B895" t="s">
        <v>2341</v>
      </c>
      <c r="C895" s="327"/>
      <c r="D895" s="324" t="str">
        <f t="shared" si="17"/>
        <v>NACE P - PUBLIC ADMINISTRATION AND DEFENCE; COMPULSORY SOCIAL SECURITY</v>
      </c>
      <c r="K895" t="s">
        <v>5532</v>
      </c>
    </row>
    <row r="896" spans="1:11" x14ac:dyDescent="0.3">
      <c r="A896" s="323" t="s">
        <v>2342</v>
      </c>
      <c r="B896" t="s">
        <v>2343</v>
      </c>
      <c r="C896" s="327"/>
      <c r="D896" s="323" t="str">
        <f t="shared" si="17"/>
        <v>NACE P - 84 Public administration and defence; compulsory social security</v>
      </c>
      <c r="K896" t="s">
        <v>5533</v>
      </c>
    </row>
    <row r="897" spans="1:11" x14ac:dyDescent="0.3">
      <c r="A897" s="326" t="s">
        <v>2344</v>
      </c>
      <c r="B897" t="s">
        <v>2345</v>
      </c>
      <c r="C897" s="327"/>
      <c r="D897" s="326" t="str">
        <f t="shared" si="17"/>
        <v>NACE P - 84.1 Administration of the State and the economic, social and environmental policies of the community</v>
      </c>
      <c r="K897" t="s">
        <v>5534</v>
      </c>
    </row>
    <row r="898" spans="1:11" x14ac:dyDescent="0.3">
      <c r="A898" s="327" t="s">
        <v>2346</v>
      </c>
      <c r="B898" t="s">
        <v>2347</v>
      </c>
      <c r="C898" s="327"/>
      <c r="D898" s="327" t="str">
        <f t="shared" ref="D898:D961" si="18">_xlfn.CONCAT("NACE ", A898)</f>
        <v>NACE P - 84.11 General public administration activities</v>
      </c>
      <c r="K898" t="s">
        <v>5535</v>
      </c>
    </row>
    <row r="899" spans="1:11" x14ac:dyDescent="0.3">
      <c r="A899" s="327" t="s">
        <v>2348</v>
      </c>
      <c r="B899" t="s">
        <v>2349</v>
      </c>
      <c r="C899" s="327"/>
      <c r="D899" s="327" t="str">
        <f t="shared" si="18"/>
        <v>NACE P - 84.12 Regulation of health care, education, cultural services and other social services</v>
      </c>
      <c r="K899" t="s">
        <v>5536</v>
      </c>
    </row>
    <row r="900" spans="1:11" x14ac:dyDescent="0.3">
      <c r="A900" s="327" t="s">
        <v>2350</v>
      </c>
      <c r="B900" t="s">
        <v>2351</v>
      </c>
      <c r="C900" s="327"/>
      <c r="D900" s="327" t="str">
        <f t="shared" si="18"/>
        <v>NACE P - 84.13 Regulation of and contribution to more efficient operation of businesses</v>
      </c>
      <c r="K900" t="s">
        <v>5537</v>
      </c>
    </row>
    <row r="901" spans="1:11" x14ac:dyDescent="0.3">
      <c r="A901" s="326" t="s">
        <v>2352</v>
      </c>
      <c r="B901" t="s">
        <v>2353</v>
      </c>
      <c r="C901" s="327"/>
      <c r="D901" s="326" t="str">
        <f t="shared" si="18"/>
        <v>NACE P - 84.2 Provision of services to the community as a whole</v>
      </c>
      <c r="K901" t="s">
        <v>5538</v>
      </c>
    </row>
    <row r="902" spans="1:11" x14ac:dyDescent="0.3">
      <c r="A902" s="327" t="s">
        <v>2354</v>
      </c>
      <c r="B902" t="s">
        <v>2355</v>
      </c>
      <c r="C902" s="327"/>
      <c r="D902" s="327" t="str">
        <f t="shared" si="18"/>
        <v>NACE P - 84.21 Foreign affairs</v>
      </c>
      <c r="K902" t="s">
        <v>5539</v>
      </c>
    </row>
    <row r="903" spans="1:11" x14ac:dyDescent="0.3">
      <c r="A903" s="327" t="s">
        <v>2356</v>
      </c>
      <c r="B903" t="s">
        <v>2357</v>
      </c>
      <c r="C903" s="327"/>
      <c r="D903" s="327" t="str">
        <f t="shared" si="18"/>
        <v>NACE P - 84.22 Defence activities</v>
      </c>
      <c r="K903" t="s">
        <v>5540</v>
      </c>
    </row>
    <row r="904" spans="1:11" x14ac:dyDescent="0.3">
      <c r="A904" s="327" t="s">
        <v>2358</v>
      </c>
      <c r="B904" t="s">
        <v>2359</v>
      </c>
      <c r="C904" s="327"/>
      <c r="D904" s="327" t="str">
        <f t="shared" si="18"/>
        <v>NACE P - 84.23 Justice and judicial activities</v>
      </c>
      <c r="K904" t="s">
        <v>5541</v>
      </c>
    </row>
    <row r="905" spans="1:11" x14ac:dyDescent="0.3">
      <c r="A905" s="327" t="s">
        <v>2360</v>
      </c>
      <c r="B905" t="s">
        <v>2361</v>
      </c>
      <c r="C905" s="327"/>
      <c r="D905" s="327" t="str">
        <f t="shared" si="18"/>
        <v>NACE P - 84.24 Public order and safety activities</v>
      </c>
      <c r="K905" t="s">
        <v>5542</v>
      </c>
    </row>
    <row r="906" spans="1:11" x14ac:dyDescent="0.3">
      <c r="A906" s="327" t="s">
        <v>2362</v>
      </c>
      <c r="B906" t="s">
        <v>2363</v>
      </c>
      <c r="C906" s="327"/>
      <c r="D906" s="327" t="str">
        <f t="shared" si="18"/>
        <v>NACE P - 84.25 Fire service activities</v>
      </c>
      <c r="K906" t="s">
        <v>5543</v>
      </c>
    </row>
    <row r="907" spans="1:11" x14ac:dyDescent="0.3">
      <c r="A907" s="326" t="s">
        <v>2364</v>
      </c>
      <c r="B907" t="s">
        <v>2365</v>
      </c>
      <c r="C907" s="327"/>
      <c r="D907" s="326" t="str">
        <f t="shared" si="18"/>
        <v>NACE P - 84.3 Compulsory social security activities</v>
      </c>
      <c r="K907" t="s">
        <v>5544</v>
      </c>
    </row>
    <row r="908" spans="1:11" x14ac:dyDescent="0.3">
      <c r="A908" s="327" t="s">
        <v>2366</v>
      </c>
      <c r="B908" t="s">
        <v>2367</v>
      </c>
      <c r="C908" s="327"/>
      <c r="D908" s="327" t="str">
        <f t="shared" si="18"/>
        <v>NACE P - 84.30 Compulsory social security activities</v>
      </c>
      <c r="K908" t="s">
        <v>5545</v>
      </c>
    </row>
    <row r="909" spans="1:11" x14ac:dyDescent="0.3">
      <c r="A909" s="324" t="s">
        <v>2368</v>
      </c>
      <c r="B909" t="s">
        <v>2369</v>
      </c>
      <c r="C909" s="327"/>
      <c r="D909" s="324" t="str">
        <f t="shared" si="18"/>
        <v>NACE Q - EDUCATION</v>
      </c>
      <c r="K909" t="s">
        <v>5546</v>
      </c>
    </row>
    <row r="910" spans="1:11" x14ac:dyDescent="0.3">
      <c r="A910" s="323" t="s">
        <v>2370</v>
      </c>
      <c r="B910" t="s">
        <v>2371</v>
      </c>
      <c r="C910" s="327"/>
      <c r="D910" s="323" t="str">
        <f t="shared" si="18"/>
        <v>NACE Q - 85 Education</v>
      </c>
      <c r="K910" t="s">
        <v>5547</v>
      </c>
    </row>
    <row r="911" spans="1:11" x14ac:dyDescent="0.3">
      <c r="A911" s="326" t="s">
        <v>2372</v>
      </c>
      <c r="B911" t="s">
        <v>2373</v>
      </c>
      <c r="C911" s="327"/>
      <c r="D911" s="326" t="str">
        <f t="shared" si="18"/>
        <v>NACE Q - 85.1 Pre-primary education</v>
      </c>
      <c r="K911" t="s">
        <v>5548</v>
      </c>
    </row>
    <row r="912" spans="1:11" x14ac:dyDescent="0.3">
      <c r="A912" s="327" t="s">
        <v>2374</v>
      </c>
      <c r="B912" t="s">
        <v>2375</v>
      </c>
      <c r="C912" s="327"/>
      <c r="D912" s="327" t="str">
        <f t="shared" si="18"/>
        <v>NACE Q - 85.10 Pre-primary education</v>
      </c>
      <c r="K912" t="s">
        <v>5549</v>
      </c>
    </row>
    <row r="913" spans="1:11" x14ac:dyDescent="0.3">
      <c r="A913" s="326" t="s">
        <v>2376</v>
      </c>
      <c r="B913" t="s">
        <v>2377</v>
      </c>
      <c r="C913" s="327"/>
      <c r="D913" s="326" t="str">
        <f t="shared" si="18"/>
        <v>NACE Q - 85.2 Primary education</v>
      </c>
      <c r="K913" t="s">
        <v>5550</v>
      </c>
    </row>
    <row r="914" spans="1:11" x14ac:dyDescent="0.3">
      <c r="A914" s="327" t="s">
        <v>2378</v>
      </c>
      <c r="B914" t="s">
        <v>2379</v>
      </c>
      <c r="C914" s="327"/>
      <c r="D914" s="327" t="str">
        <f t="shared" si="18"/>
        <v>NACE Q - 85.20 Primary education</v>
      </c>
      <c r="K914" t="s">
        <v>5551</v>
      </c>
    </row>
    <row r="915" spans="1:11" x14ac:dyDescent="0.3">
      <c r="A915" s="326" t="s">
        <v>2380</v>
      </c>
      <c r="B915" t="s">
        <v>2381</v>
      </c>
      <c r="C915" s="327"/>
      <c r="D915" s="326" t="str">
        <f t="shared" si="18"/>
        <v>NACE Q - 85.3 Secondary and post-secondary non-tertiary education</v>
      </c>
      <c r="K915" t="s">
        <v>5552</v>
      </c>
    </row>
    <row r="916" spans="1:11" x14ac:dyDescent="0.3">
      <c r="A916" s="327" t="s">
        <v>2382</v>
      </c>
      <c r="B916" t="s">
        <v>2383</v>
      </c>
      <c r="C916" s="327"/>
      <c r="D916" s="327" t="str">
        <f t="shared" si="18"/>
        <v>NACE Q - 85.31 General secondary education</v>
      </c>
      <c r="K916" t="s">
        <v>5553</v>
      </c>
    </row>
    <row r="917" spans="1:11" x14ac:dyDescent="0.3">
      <c r="A917" s="327" t="s">
        <v>2384</v>
      </c>
      <c r="B917" t="s">
        <v>2385</v>
      </c>
      <c r="C917" s="327"/>
      <c r="D917" s="327" t="str">
        <f t="shared" si="18"/>
        <v>NACE Q - 85.32 Vocational secondary education</v>
      </c>
      <c r="K917" t="s">
        <v>5554</v>
      </c>
    </row>
    <row r="918" spans="1:11" x14ac:dyDescent="0.3">
      <c r="A918" s="327" t="s">
        <v>2386</v>
      </c>
      <c r="B918" t="s">
        <v>2387</v>
      </c>
      <c r="C918" s="327"/>
      <c r="D918" s="327" t="str">
        <f t="shared" si="18"/>
        <v>NACE Q - 85.33 Post-secondary non-tertiary education</v>
      </c>
      <c r="K918" t="s">
        <v>5555</v>
      </c>
    </row>
    <row r="919" spans="1:11" x14ac:dyDescent="0.3">
      <c r="A919" s="326" t="s">
        <v>2388</v>
      </c>
      <c r="B919" t="s">
        <v>2389</v>
      </c>
      <c r="C919" s="327"/>
      <c r="D919" s="326" t="str">
        <f t="shared" si="18"/>
        <v>NACE Q - 85.4 Tertiary education</v>
      </c>
      <c r="K919" t="s">
        <v>5556</v>
      </c>
    </row>
    <row r="920" spans="1:11" x14ac:dyDescent="0.3">
      <c r="A920" s="327" t="s">
        <v>2390</v>
      </c>
      <c r="B920" t="s">
        <v>2391</v>
      </c>
      <c r="C920" s="327"/>
      <c r="D920" s="327" t="str">
        <f t="shared" si="18"/>
        <v>NACE Q - 85.40 Tertiary education</v>
      </c>
      <c r="K920" t="s">
        <v>5557</v>
      </c>
    </row>
    <row r="921" spans="1:11" x14ac:dyDescent="0.3">
      <c r="A921" s="326" t="s">
        <v>2392</v>
      </c>
      <c r="B921" t="s">
        <v>2393</v>
      </c>
      <c r="C921" s="327"/>
      <c r="D921" s="326" t="str">
        <f t="shared" si="18"/>
        <v>NACE Q - 85.5 Other education</v>
      </c>
      <c r="K921" t="s">
        <v>5558</v>
      </c>
    </row>
    <row r="922" spans="1:11" x14ac:dyDescent="0.3">
      <c r="A922" s="327" t="s">
        <v>2394</v>
      </c>
      <c r="B922" t="s">
        <v>2395</v>
      </c>
      <c r="C922" s="327"/>
      <c r="D922" s="327" t="str">
        <f t="shared" si="18"/>
        <v>NACE Q - 85.51 Sports and recreation education</v>
      </c>
      <c r="K922" t="s">
        <v>5559</v>
      </c>
    </row>
    <row r="923" spans="1:11" x14ac:dyDescent="0.3">
      <c r="A923" s="327" t="s">
        <v>2396</v>
      </c>
      <c r="B923" t="s">
        <v>2397</v>
      </c>
      <c r="C923" s="327"/>
      <c r="D923" s="327" t="str">
        <f t="shared" si="18"/>
        <v>NACE Q - 85.52 Cultural education</v>
      </c>
      <c r="K923" t="s">
        <v>5560</v>
      </c>
    </row>
    <row r="924" spans="1:11" x14ac:dyDescent="0.3">
      <c r="A924" s="327" t="s">
        <v>2398</v>
      </c>
      <c r="B924" t="s">
        <v>2399</v>
      </c>
      <c r="C924" s="327"/>
      <c r="D924" s="327" t="str">
        <f t="shared" si="18"/>
        <v>NACE Q - 85.53 Driving school activities</v>
      </c>
      <c r="K924" t="s">
        <v>5561</v>
      </c>
    </row>
    <row r="925" spans="1:11" x14ac:dyDescent="0.3">
      <c r="A925" s="327" t="s">
        <v>2400</v>
      </c>
      <c r="B925" t="s">
        <v>2401</v>
      </c>
      <c r="C925" s="327"/>
      <c r="D925" s="327" t="str">
        <f t="shared" si="18"/>
        <v>NACE Q - 85.59 Other education n.e.c.</v>
      </c>
      <c r="K925" t="s">
        <v>5562</v>
      </c>
    </row>
    <row r="926" spans="1:11" x14ac:dyDescent="0.3">
      <c r="A926" s="326" t="s">
        <v>2402</v>
      </c>
      <c r="B926" t="s">
        <v>2403</v>
      </c>
      <c r="C926" s="327"/>
      <c r="D926" s="326" t="str">
        <f t="shared" si="18"/>
        <v>NACE Q - 85.6 Educational support activities</v>
      </c>
      <c r="K926" t="s">
        <v>5563</v>
      </c>
    </row>
    <row r="927" spans="1:11" x14ac:dyDescent="0.3">
      <c r="A927" s="327" t="s">
        <v>2404</v>
      </c>
      <c r="B927" t="s">
        <v>2405</v>
      </c>
      <c r="C927" s="327"/>
      <c r="D927" s="327" t="str">
        <f t="shared" si="18"/>
        <v>NACE Q - 85.61 Intermediation service activities for courses and tutors</v>
      </c>
      <c r="K927" t="s">
        <v>5564</v>
      </c>
    </row>
    <row r="928" spans="1:11" x14ac:dyDescent="0.3">
      <c r="A928" s="327" t="s">
        <v>2406</v>
      </c>
      <c r="B928" t="s">
        <v>2407</v>
      </c>
      <c r="C928" s="327"/>
      <c r="D928" s="327" t="str">
        <f t="shared" si="18"/>
        <v>NACE Q - 85.69 Educational support activities n.e.c.</v>
      </c>
      <c r="K928" t="s">
        <v>5565</v>
      </c>
    </row>
    <row r="929" spans="1:11" x14ac:dyDescent="0.3">
      <c r="A929" s="324" t="s">
        <v>2408</v>
      </c>
      <c r="B929" t="s">
        <v>2409</v>
      </c>
      <c r="C929" s="327"/>
      <c r="D929" s="324" t="str">
        <f t="shared" si="18"/>
        <v>NACE R - HUMAN HEALTH AND SOCIAL WORK ACTIVITIES</v>
      </c>
      <c r="K929" t="s">
        <v>5566</v>
      </c>
    </row>
    <row r="930" spans="1:11" x14ac:dyDescent="0.3">
      <c r="A930" s="323" t="s">
        <v>2410</v>
      </c>
      <c r="B930" t="s">
        <v>2411</v>
      </c>
      <c r="C930" s="327"/>
      <c r="D930" s="323" t="str">
        <f t="shared" si="18"/>
        <v>NACE R - 86 Human health activities</v>
      </c>
      <c r="K930" t="s">
        <v>5567</v>
      </c>
    </row>
    <row r="931" spans="1:11" x14ac:dyDescent="0.3">
      <c r="A931" s="326" t="s">
        <v>2412</v>
      </c>
      <c r="B931" t="s">
        <v>2413</v>
      </c>
      <c r="C931" s="327"/>
      <c r="D931" s="326" t="str">
        <f t="shared" si="18"/>
        <v>NACE R - 86.1 Hospital activities</v>
      </c>
      <c r="K931" t="s">
        <v>4656</v>
      </c>
    </row>
    <row r="932" spans="1:11" x14ac:dyDescent="0.3">
      <c r="A932" s="327" t="s">
        <v>2414</v>
      </c>
      <c r="B932" t="s">
        <v>2415</v>
      </c>
      <c r="C932" s="327"/>
      <c r="D932" s="327" t="str">
        <f t="shared" si="18"/>
        <v>NACE R - 86.10 Hospital activities</v>
      </c>
      <c r="K932" t="s">
        <v>5568</v>
      </c>
    </row>
    <row r="933" spans="1:11" x14ac:dyDescent="0.3">
      <c r="A933" s="326" t="s">
        <v>2416</v>
      </c>
      <c r="B933" t="s">
        <v>2417</v>
      </c>
      <c r="C933" s="327"/>
      <c r="D933" s="326" t="str">
        <f t="shared" si="18"/>
        <v>NACE R - 86.2 Medical and dental practice activities</v>
      </c>
      <c r="K933" t="s">
        <v>5569</v>
      </c>
    </row>
    <row r="934" spans="1:11" x14ac:dyDescent="0.3">
      <c r="A934" s="327" t="s">
        <v>2418</v>
      </c>
      <c r="B934" t="s">
        <v>2419</v>
      </c>
      <c r="C934" s="327"/>
      <c r="D934" s="327" t="str">
        <f t="shared" si="18"/>
        <v>NACE R - 86.21 General medical practice activities</v>
      </c>
      <c r="K934" t="s">
        <v>5570</v>
      </c>
    </row>
    <row r="935" spans="1:11" x14ac:dyDescent="0.3">
      <c r="A935" s="327" t="s">
        <v>2420</v>
      </c>
      <c r="B935" t="s">
        <v>2421</v>
      </c>
      <c r="C935" s="327"/>
      <c r="D935" s="327" t="str">
        <f t="shared" si="18"/>
        <v>NACE R - 86.22 Medical specialists activities</v>
      </c>
      <c r="K935" t="s">
        <v>5571</v>
      </c>
    </row>
    <row r="936" spans="1:11" x14ac:dyDescent="0.3">
      <c r="A936" s="327" t="s">
        <v>2422</v>
      </c>
      <c r="B936" t="s">
        <v>2423</v>
      </c>
      <c r="C936" s="327"/>
      <c r="D936" s="327" t="str">
        <f t="shared" si="18"/>
        <v>NACE R - 86.23 Dental practice care activities</v>
      </c>
      <c r="K936" t="s">
        <v>5572</v>
      </c>
    </row>
    <row r="937" spans="1:11" x14ac:dyDescent="0.3">
      <c r="A937" s="326" t="s">
        <v>2424</v>
      </c>
      <c r="B937" t="s">
        <v>2425</v>
      </c>
      <c r="C937" s="327"/>
      <c r="D937" s="326" t="str">
        <f t="shared" si="18"/>
        <v>NACE R - 86.9 Other human health activities</v>
      </c>
      <c r="K937" t="s">
        <v>5573</v>
      </c>
    </row>
    <row r="938" spans="1:11" x14ac:dyDescent="0.3">
      <c r="A938" s="327" t="s">
        <v>2426</v>
      </c>
      <c r="B938" t="s">
        <v>2427</v>
      </c>
      <c r="C938" s="327"/>
      <c r="D938" s="327" t="str">
        <f t="shared" si="18"/>
        <v>NACE R - 86.91 Diagnostic imaging services and medical laboratory activities</v>
      </c>
      <c r="K938" t="s">
        <v>5574</v>
      </c>
    </row>
    <row r="939" spans="1:11" x14ac:dyDescent="0.3">
      <c r="A939" s="327" t="s">
        <v>2428</v>
      </c>
      <c r="B939" t="s">
        <v>2429</v>
      </c>
      <c r="C939" s="327"/>
      <c r="D939" s="327" t="str">
        <f t="shared" si="18"/>
        <v>NACE R - 86.92 Patient transportation by ambulance</v>
      </c>
      <c r="K939" t="s">
        <v>5575</v>
      </c>
    </row>
    <row r="940" spans="1:11" x14ac:dyDescent="0.3">
      <c r="A940" s="327" t="s">
        <v>2430</v>
      </c>
      <c r="B940" t="s">
        <v>2431</v>
      </c>
      <c r="C940" s="327"/>
      <c r="D940" s="327" t="str">
        <f t="shared" si="18"/>
        <v>NACE R - 86.93 Activities of psychologists and psychotherapists, except medical doctors</v>
      </c>
      <c r="K940" t="s">
        <v>5576</v>
      </c>
    </row>
    <row r="941" spans="1:11" x14ac:dyDescent="0.3">
      <c r="A941" s="327" t="s">
        <v>2432</v>
      </c>
      <c r="B941" t="s">
        <v>2433</v>
      </c>
      <c r="C941" s="327"/>
      <c r="D941" s="327" t="str">
        <f t="shared" si="18"/>
        <v>NACE R - 86.94 Nursing and midwifery activities</v>
      </c>
      <c r="K941" t="s">
        <v>5577</v>
      </c>
    </row>
    <row r="942" spans="1:11" x14ac:dyDescent="0.3">
      <c r="A942" s="327" t="s">
        <v>2434</v>
      </c>
      <c r="B942" t="s">
        <v>2435</v>
      </c>
      <c r="C942" s="327"/>
      <c r="D942" s="327" t="str">
        <f t="shared" si="18"/>
        <v>NACE R - 86.95 Physiotherapy activities</v>
      </c>
      <c r="K942" t="s">
        <v>5578</v>
      </c>
    </row>
    <row r="943" spans="1:11" x14ac:dyDescent="0.3">
      <c r="A943" s="327" t="s">
        <v>2436</v>
      </c>
      <c r="B943" t="s">
        <v>2437</v>
      </c>
      <c r="C943" s="327"/>
      <c r="D943" s="327" t="str">
        <f t="shared" si="18"/>
        <v>NACE R - 86.96 Traditional, complementary and alternative medicine activities</v>
      </c>
      <c r="K943" t="s">
        <v>5579</v>
      </c>
    </row>
    <row r="944" spans="1:11" x14ac:dyDescent="0.3">
      <c r="A944" s="327" t="s">
        <v>2438</v>
      </c>
      <c r="B944" t="s">
        <v>2439</v>
      </c>
      <c r="C944" s="327"/>
      <c r="D944" s="327" t="str">
        <f t="shared" si="18"/>
        <v>NACE R - 86.97 Intermediation service activities for medical, dental and other human health services</v>
      </c>
      <c r="K944" t="s">
        <v>5580</v>
      </c>
    </row>
    <row r="945" spans="1:11" x14ac:dyDescent="0.3">
      <c r="A945" s="327" t="s">
        <v>2440</v>
      </c>
      <c r="B945" t="s">
        <v>2441</v>
      </c>
      <c r="C945" s="327"/>
      <c r="D945" s="327" t="str">
        <f t="shared" si="18"/>
        <v>NACE R - 86.99 Other human health activities n.e.c.</v>
      </c>
      <c r="K945" t="s">
        <v>5581</v>
      </c>
    </row>
    <row r="946" spans="1:11" x14ac:dyDescent="0.3">
      <c r="A946" s="323" t="s">
        <v>2442</v>
      </c>
      <c r="B946" t="s">
        <v>2443</v>
      </c>
      <c r="C946" s="327"/>
      <c r="D946" s="323" t="str">
        <f t="shared" si="18"/>
        <v>NACE R - 87 Residential care activities</v>
      </c>
      <c r="K946" t="s">
        <v>5582</v>
      </c>
    </row>
    <row r="947" spans="1:11" x14ac:dyDescent="0.3">
      <c r="A947" s="326" t="s">
        <v>2444</v>
      </c>
      <c r="B947" t="s">
        <v>2445</v>
      </c>
      <c r="C947" s="327"/>
      <c r="D947" s="326" t="str">
        <f t="shared" si="18"/>
        <v>NACE R - 87.1 Residential nursing care activities</v>
      </c>
      <c r="K947" t="s">
        <v>5583</v>
      </c>
    </row>
    <row r="948" spans="1:11" x14ac:dyDescent="0.3">
      <c r="A948" s="327" t="s">
        <v>2446</v>
      </c>
      <c r="B948" t="s">
        <v>2447</v>
      </c>
      <c r="C948" s="327"/>
      <c r="D948" s="327" t="str">
        <f t="shared" si="18"/>
        <v>NACE R - 87.10 Residential nursing care activities</v>
      </c>
      <c r="K948" t="s">
        <v>5584</v>
      </c>
    </row>
    <row r="949" spans="1:11" x14ac:dyDescent="0.3">
      <c r="A949" s="326" t="s">
        <v>2448</v>
      </c>
      <c r="B949" t="s">
        <v>2449</v>
      </c>
      <c r="C949" s="327"/>
      <c r="D949" s="326" t="str">
        <f t="shared" si="18"/>
        <v>NACE R - 87.2 Residential care activities for persons living with or having a diagnosis of a mental illness or substance abuse</v>
      </c>
      <c r="K949" t="s">
        <v>5585</v>
      </c>
    </row>
    <row r="950" spans="1:11" x14ac:dyDescent="0.3">
      <c r="A950" s="327" t="s">
        <v>2450</v>
      </c>
      <c r="B950" t="s">
        <v>2451</v>
      </c>
      <c r="C950" s="327"/>
      <c r="D950" s="327" t="str">
        <f t="shared" si="18"/>
        <v>NACE R - 87.20 Residential care activities for persons living with or having a diagnosis of a mental illness or substance abuse</v>
      </c>
      <c r="K950" t="s">
        <v>5586</v>
      </c>
    </row>
    <row r="951" spans="1:11" x14ac:dyDescent="0.3">
      <c r="A951" s="326" t="s">
        <v>2452</v>
      </c>
      <c r="B951" t="s">
        <v>2453</v>
      </c>
      <c r="C951" s="327"/>
      <c r="D951" s="326" t="str">
        <f t="shared" si="18"/>
        <v>NACE R - 87.3 Residential care activities for older persons or persons with physical disabilities</v>
      </c>
      <c r="K951" t="s">
        <v>5587</v>
      </c>
    </row>
    <row r="952" spans="1:11" x14ac:dyDescent="0.3">
      <c r="A952" s="327" t="s">
        <v>2454</v>
      </c>
      <c r="B952" t="s">
        <v>2455</v>
      </c>
      <c r="C952" s="327"/>
      <c r="D952" s="327" t="str">
        <f t="shared" si="18"/>
        <v>NACE R - 87.30 Residential care activities for older persons or persons with physical disabilities</v>
      </c>
      <c r="K952" t="s">
        <v>5588</v>
      </c>
    </row>
    <row r="953" spans="1:11" x14ac:dyDescent="0.3">
      <c r="A953" s="326" t="s">
        <v>2456</v>
      </c>
      <c r="B953" t="s">
        <v>2457</v>
      </c>
      <c r="C953" s="327"/>
      <c r="D953" s="326" t="str">
        <f t="shared" si="18"/>
        <v>NACE R - 87.9 Other residential care activities</v>
      </c>
      <c r="K953" t="s">
        <v>5589</v>
      </c>
    </row>
    <row r="954" spans="1:11" x14ac:dyDescent="0.3">
      <c r="A954" s="327" t="s">
        <v>2458</v>
      </c>
      <c r="B954" t="s">
        <v>2459</v>
      </c>
      <c r="C954" s="327"/>
      <c r="D954" s="327" t="str">
        <f t="shared" si="18"/>
        <v>NACE R - 87.91 Intermediation service activities for residential care activities</v>
      </c>
      <c r="K954" t="s">
        <v>5590</v>
      </c>
    </row>
    <row r="955" spans="1:11" x14ac:dyDescent="0.3">
      <c r="A955" s="327" t="s">
        <v>2460</v>
      </c>
      <c r="B955" t="s">
        <v>2461</v>
      </c>
      <c r="C955" s="327"/>
      <c r="D955" s="327" t="str">
        <f t="shared" si="18"/>
        <v>NACE R - 87.99 Other residential care activities n.e.c.</v>
      </c>
      <c r="K955" t="s">
        <v>5591</v>
      </c>
    </row>
    <row r="956" spans="1:11" x14ac:dyDescent="0.3">
      <c r="A956" s="323" t="s">
        <v>2462</v>
      </c>
      <c r="B956" t="s">
        <v>2463</v>
      </c>
      <c r="C956" s="327"/>
      <c r="D956" s="323" t="str">
        <f t="shared" si="18"/>
        <v>NACE R - 88 Social work activities without accommodation</v>
      </c>
      <c r="K956" t="s">
        <v>5592</v>
      </c>
    </row>
    <row r="957" spans="1:11" x14ac:dyDescent="0.3">
      <c r="A957" s="326" t="s">
        <v>2464</v>
      </c>
      <c r="B957" t="s">
        <v>2465</v>
      </c>
      <c r="C957" s="327"/>
      <c r="D957" s="326" t="str">
        <f t="shared" si="18"/>
        <v>NACE R - 88.1 Social work activities without accommodation for older persons or persons with disabilities</v>
      </c>
      <c r="K957" t="s">
        <v>5593</v>
      </c>
    </row>
    <row r="958" spans="1:11" x14ac:dyDescent="0.3">
      <c r="A958" s="327" t="s">
        <v>2466</v>
      </c>
      <c r="B958" t="s">
        <v>2467</v>
      </c>
      <c r="C958" s="327"/>
      <c r="D958" s="327" t="str">
        <f t="shared" si="18"/>
        <v>NACE R - 88.10 Social work activities without accommodation for older persons or persons with disabilities</v>
      </c>
      <c r="K958" t="s">
        <v>5594</v>
      </c>
    </row>
    <row r="959" spans="1:11" x14ac:dyDescent="0.3">
      <c r="A959" s="326" t="s">
        <v>2468</v>
      </c>
      <c r="B959" t="s">
        <v>2469</v>
      </c>
      <c r="C959" s="327"/>
      <c r="D959" s="326" t="str">
        <f t="shared" si="18"/>
        <v>NACE R - 88.9 Other social work activities without accommodation</v>
      </c>
      <c r="K959" t="s">
        <v>5595</v>
      </c>
    </row>
    <row r="960" spans="1:11" x14ac:dyDescent="0.3">
      <c r="A960" s="327" t="s">
        <v>2470</v>
      </c>
      <c r="B960" t="s">
        <v>2471</v>
      </c>
      <c r="C960" s="327"/>
      <c r="D960" s="327" t="str">
        <f t="shared" si="18"/>
        <v>NACE R - 88.91 Child day-care activities</v>
      </c>
      <c r="K960" t="s">
        <v>5596</v>
      </c>
    </row>
    <row r="961" spans="1:11" x14ac:dyDescent="0.3">
      <c r="A961" s="327" t="s">
        <v>2472</v>
      </c>
      <c r="B961" t="s">
        <v>2473</v>
      </c>
      <c r="C961" s="327"/>
      <c r="D961" s="327" t="str">
        <f t="shared" si="18"/>
        <v>NACE R - 88.99 Other social work activities without accommodation n.e.c.</v>
      </c>
      <c r="K961" t="s">
        <v>5597</v>
      </c>
    </row>
    <row r="962" spans="1:11" x14ac:dyDescent="0.3">
      <c r="A962" s="324" t="s">
        <v>2474</v>
      </c>
      <c r="B962" t="s">
        <v>2475</v>
      </c>
      <c r="C962" s="327"/>
      <c r="D962" s="324" t="str">
        <f t="shared" ref="D962:D1025" si="19">_xlfn.CONCAT("NACE ", A962)</f>
        <v>NACE S - ARTS, SPORTS AND RECREATION</v>
      </c>
      <c r="K962" t="s">
        <v>5598</v>
      </c>
    </row>
    <row r="963" spans="1:11" x14ac:dyDescent="0.3">
      <c r="A963" s="323" t="s">
        <v>2476</v>
      </c>
      <c r="B963" t="s">
        <v>2477</v>
      </c>
      <c r="C963" s="327"/>
      <c r="D963" s="323" t="str">
        <f t="shared" si="19"/>
        <v>NACE S - 90 Arts creation and performing arts activities</v>
      </c>
      <c r="K963" t="s">
        <v>5599</v>
      </c>
    </row>
    <row r="964" spans="1:11" x14ac:dyDescent="0.3">
      <c r="A964" s="326" t="s">
        <v>2478</v>
      </c>
      <c r="B964" t="s">
        <v>2479</v>
      </c>
      <c r="C964" s="327"/>
      <c r="D964" s="326" t="str">
        <f t="shared" si="19"/>
        <v>NACE S - 90.1 Arts creation activities</v>
      </c>
      <c r="K964" t="s">
        <v>5600</v>
      </c>
    </row>
    <row r="965" spans="1:11" x14ac:dyDescent="0.3">
      <c r="A965" s="327" t="s">
        <v>2480</v>
      </c>
      <c r="B965" t="s">
        <v>2481</v>
      </c>
      <c r="C965" s="327"/>
      <c r="D965" s="327" t="str">
        <f t="shared" si="19"/>
        <v>NACE S - 90.11 Literary creation and musical composition activities</v>
      </c>
      <c r="K965" t="s">
        <v>5601</v>
      </c>
    </row>
    <row r="966" spans="1:11" x14ac:dyDescent="0.3">
      <c r="A966" s="327" t="s">
        <v>2482</v>
      </c>
      <c r="B966" t="s">
        <v>2483</v>
      </c>
      <c r="C966" s="327"/>
      <c r="D966" s="327" t="str">
        <f t="shared" si="19"/>
        <v>NACE S - 90.12 Visual arts creation activities</v>
      </c>
      <c r="K966" t="s">
        <v>5602</v>
      </c>
    </row>
    <row r="967" spans="1:11" x14ac:dyDescent="0.3">
      <c r="A967" s="327" t="s">
        <v>2484</v>
      </c>
      <c r="B967" t="s">
        <v>2485</v>
      </c>
      <c r="C967" s="327"/>
      <c r="D967" s="327" t="str">
        <f t="shared" si="19"/>
        <v>NACE S - 90.13 Other arts creation activities</v>
      </c>
      <c r="K967" t="s">
        <v>5603</v>
      </c>
    </row>
    <row r="968" spans="1:11" x14ac:dyDescent="0.3">
      <c r="A968" s="326" t="s">
        <v>2486</v>
      </c>
      <c r="B968" t="s">
        <v>2487</v>
      </c>
      <c r="C968" s="327"/>
      <c r="D968" s="326" t="str">
        <f t="shared" si="19"/>
        <v>NACE S - 90.2 Activities of performing arts</v>
      </c>
      <c r="K968" t="s">
        <v>5604</v>
      </c>
    </row>
    <row r="969" spans="1:11" x14ac:dyDescent="0.3">
      <c r="A969" s="327" t="s">
        <v>2488</v>
      </c>
      <c r="B969" t="s">
        <v>2489</v>
      </c>
      <c r="C969" s="327"/>
      <c r="D969" s="327" t="str">
        <f t="shared" si="19"/>
        <v>NACE S - 90.20 Activities of performing arts</v>
      </c>
      <c r="K969" t="s">
        <v>5605</v>
      </c>
    </row>
    <row r="970" spans="1:11" x14ac:dyDescent="0.3">
      <c r="A970" s="326" t="s">
        <v>2490</v>
      </c>
      <c r="B970" t="s">
        <v>2491</v>
      </c>
      <c r="C970" s="327"/>
      <c r="D970" s="326" t="str">
        <f t="shared" si="19"/>
        <v>NACE S - 90.3 Support activities to arts creation and performing arts</v>
      </c>
      <c r="K970" t="s">
        <v>5606</v>
      </c>
    </row>
    <row r="971" spans="1:11" x14ac:dyDescent="0.3">
      <c r="A971" s="327" t="s">
        <v>2492</v>
      </c>
      <c r="B971" t="s">
        <v>2493</v>
      </c>
      <c r="C971" s="327"/>
      <c r="D971" s="327" t="str">
        <f t="shared" si="19"/>
        <v>NACE S - 90.31 Operation of arts facilities and sites</v>
      </c>
      <c r="K971" t="s">
        <v>5607</v>
      </c>
    </row>
    <row r="972" spans="1:11" x14ac:dyDescent="0.3">
      <c r="A972" s="327" t="s">
        <v>2494</v>
      </c>
      <c r="B972" t="s">
        <v>2495</v>
      </c>
      <c r="C972" s="327"/>
      <c r="D972" s="327" t="str">
        <f t="shared" si="19"/>
        <v>NACE S - 90.39 Other support activities to arts and performing arts</v>
      </c>
      <c r="K972" t="s">
        <v>5608</v>
      </c>
    </row>
    <row r="973" spans="1:11" x14ac:dyDescent="0.3">
      <c r="A973" s="323" t="s">
        <v>2496</v>
      </c>
      <c r="B973" t="s">
        <v>2497</v>
      </c>
      <c r="C973" s="327"/>
      <c r="D973" s="323" t="str">
        <f t="shared" si="19"/>
        <v>NACE S - 91 Libraries, archives, museums and other cultural activities</v>
      </c>
      <c r="K973" t="s">
        <v>5609</v>
      </c>
    </row>
    <row r="974" spans="1:11" x14ac:dyDescent="0.3">
      <c r="A974" s="326" t="s">
        <v>2498</v>
      </c>
      <c r="B974" t="s">
        <v>2499</v>
      </c>
      <c r="C974" s="327"/>
      <c r="D974" s="326" t="str">
        <f t="shared" si="19"/>
        <v>NACE S - 91.1 Library and archive activities</v>
      </c>
      <c r="K974" t="s">
        <v>5610</v>
      </c>
    </row>
    <row r="975" spans="1:11" x14ac:dyDescent="0.3">
      <c r="A975" s="327" t="s">
        <v>2500</v>
      </c>
      <c r="B975" t="s">
        <v>2501</v>
      </c>
      <c r="C975" s="327"/>
      <c r="D975" s="327" t="str">
        <f t="shared" si="19"/>
        <v>NACE S - 91.11 Library activities</v>
      </c>
    </row>
    <row r="976" spans="1:11" x14ac:dyDescent="0.3">
      <c r="A976" s="327" t="s">
        <v>2502</v>
      </c>
      <c r="B976" t="s">
        <v>2503</v>
      </c>
      <c r="C976" s="327"/>
      <c r="D976" s="327" t="str">
        <f t="shared" si="19"/>
        <v>NACE S - 91.12 Archive activities</v>
      </c>
    </row>
    <row r="977" spans="1:4" x14ac:dyDescent="0.3">
      <c r="A977" s="326" t="s">
        <v>2504</v>
      </c>
      <c r="B977" t="s">
        <v>2505</v>
      </c>
      <c r="C977" s="327"/>
      <c r="D977" s="326" t="str">
        <f t="shared" si="19"/>
        <v>NACE S - 91.2 Museum, collection, historical site and monument activities</v>
      </c>
    </row>
    <row r="978" spans="1:4" x14ac:dyDescent="0.3">
      <c r="A978" s="327" t="s">
        <v>2506</v>
      </c>
      <c r="B978" t="s">
        <v>2507</v>
      </c>
      <c r="C978" s="327"/>
      <c r="D978" s="327" t="str">
        <f t="shared" si="19"/>
        <v>NACE S - 91.21 Museum and collection activities</v>
      </c>
    </row>
    <row r="979" spans="1:4" x14ac:dyDescent="0.3">
      <c r="A979" s="327" t="s">
        <v>2508</v>
      </c>
      <c r="B979" t="s">
        <v>2509</v>
      </c>
      <c r="C979" s="327"/>
      <c r="D979" s="327" t="str">
        <f t="shared" si="19"/>
        <v>NACE S - 91.22 Historical site and monument activities</v>
      </c>
    </row>
    <row r="980" spans="1:4" x14ac:dyDescent="0.3">
      <c r="A980" s="326" t="s">
        <v>2510</v>
      </c>
      <c r="B980" t="s">
        <v>2511</v>
      </c>
      <c r="C980" s="327"/>
      <c r="D980" s="326" t="str">
        <f t="shared" si="19"/>
        <v>NACE S - 91.3 Conservation, restoration and other support activities for cultural heritage</v>
      </c>
    </row>
    <row r="981" spans="1:4" x14ac:dyDescent="0.3">
      <c r="A981" s="327" t="s">
        <v>2512</v>
      </c>
      <c r="B981" t="s">
        <v>2513</v>
      </c>
      <c r="C981" s="327"/>
      <c r="D981" s="327" t="str">
        <f t="shared" si="19"/>
        <v>NACE S - 91.30 Conservation, restoration and other support activities for cultural heritage</v>
      </c>
    </row>
    <row r="982" spans="1:4" x14ac:dyDescent="0.3">
      <c r="A982" s="326" t="s">
        <v>2514</v>
      </c>
      <c r="B982" t="s">
        <v>2515</v>
      </c>
      <c r="C982" s="327"/>
      <c r="D982" s="326" t="str">
        <f t="shared" si="19"/>
        <v>NACE S - 91.4 Botanical and zoological garden and nature reserve activities</v>
      </c>
    </row>
    <row r="983" spans="1:4" x14ac:dyDescent="0.3">
      <c r="A983" s="327" t="s">
        <v>2516</v>
      </c>
      <c r="B983" t="s">
        <v>2517</v>
      </c>
      <c r="C983" s="327"/>
      <c r="D983" s="327" t="str">
        <f t="shared" si="19"/>
        <v>NACE S - 91.41 Botanical and zoological garden activities</v>
      </c>
    </row>
    <row r="984" spans="1:4" x14ac:dyDescent="0.3">
      <c r="A984" s="327" t="s">
        <v>2518</v>
      </c>
      <c r="B984" t="s">
        <v>2519</v>
      </c>
      <c r="C984" s="327"/>
      <c r="D984" s="327" t="str">
        <f t="shared" si="19"/>
        <v>NACE S - 91.42 Nature reserve activities</v>
      </c>
    </row>
    <row r="985" spans="1:4" x14ac:dyDescent="0.3">
      <c r="A985" s="323" t="s">
        <v>2520</v>
      </c>
      <c r="B985" t="s">
        <v>2521</v>
      </c>
      <c r="C985" s="327"/>
      <c r="D985" s="323" t="str">
        <f t="shared" si="19"/>
        <v>NACE S - 92 Gambling and betting activities</v>
      </c>
    </row>
    <row r="986" spans="1:4" x14ac:dyDescent="0.3">
      <c r="A986" s="326" t="s">
        <v>2522</v>
      </c>
      <c r="B986" t="s">
        <v>2523</v>
      </c>
      <c r="C986" s="327"/>
      <c r="D986" s="326" t="str">
        <f t="shared" si="19"/>
        <v>NACE S - 92.0 Gambling and betting activities</v>
      </c>
    </row>
    <row r="987" spans="1:4" x14ac:dyDescent="0.3">
      <c r="A987" s="327" t="s">
        <v>2524</v>
      </c>
      <c r="B987" t="s">
        <v>2525</v>
      </c>
      <c r="C987" s="327"/>
      <c r="D987" s="327" t="str">
        <f t="shared" si="19"/>
        <v>NACE S - 92.00 Gambling and betting activities</v>
      </c>
    </row>
    <row r="988" spans="1:4" x14ac:dyDescent="0.3">
      <c r="A988" s="323" t="s">
        <v>2526</v>
      </c>
      <c r="B988" t="s">
        <v>2527</v>
      </c>
      <c r="C988" s="327"/>
      <c r="D988" s="323" t="str">
        <f t="shared" si="19"/>
        <v>NACE S - 93 Sports activities and amusement and recreation activities</v>
      </c>
    </row>
    <row r="989" spans="1:4" x14ac:dyDescent="0.3">
      <c r="A989" s="326" t="s">
        <v>2528</v>
      </c>
      <c r="B989" t="s">
        <v>2529</v>
      </c>
      <c r="C989" s="327"/>
      <c r="D989" s="326" t="str">
        <f t="shared" si="19"/>
        <v>NACE S - 93.1 Sports activities</v>
      </c>
    </row>
    <row r="990" spans="1:4" x14ac:dyDescent="0.3">
      <c r="A990" s="327" t="s">
        <v>2530</v>
      </c>
      <c r="B990" t="s">
        <v>2531</v>
      </c>
      <c r="C990" s="327"/>
      <c r="D990" s="327" t="str">
        <f t="shared" si="19"/>
        <v>NACE S - 93.11 Operation of sports facilities</v>
      </c>
    </row>
    <row r="991" spans="1:4" x14ac:dyDescent="0.3">
      <c r="A991" s="327" t="s">
        <v>2532</v>
      </c>
      <c r="B991" t="s">
        <v>2533</v>
      </c>
      <c r="C991" s="327"/>
      <c r="D991" s="327" t="str">
        <f t="shared" si="19"/>
        <v>NACE S - 93.12 Activities of sports clubs</v>
      </c>
    </row>
    <row r="992" spans="1:4" x14ac:dyDescent="0.3">
      <c r="A992" s="327" t="s">
        <v>2534</v>
      </c>
      <c r="B992" t="s">
        <v>2535</v>
      </c>
      <c r="C992" s="327"/>
      <c r="D992" s="327" t="str">
        <f t="shared" si="19"/>
        <v>NACE S - 93.13 Activities of fitness centres</v>
      </c>
    </row>
    <row r="993" spans="1:4" x14ac:dyDescent="0.3">
      <c r="A993" s="327" t="s">
        <v>2536</v>
      </c>
      <c r="B993" t="s">
        <v>2537</v>
      </c>
      <c r="C993" s="327"/>
      <c r="D993" s="327" t="str">
        <f t="shared" si="19"/>
        <v>NACE S - 93.19 Sports activities n.e.c.</v>
      </c>
    </row>
    <row r="994" spans="1:4" x14ac:dyDescent="0.3">
      <c r="A994" s="326" t="s">
        <v>2538</v>
      </c>
      <c r="B994" t="s">
        <v>2539</v>
      </c>
      <c r="C994" s="327"/>
      <c r="D994" s="326" t="str">
        <f t="shared" si="19"/>
        <v>NACE S - 93.2 Amusement and recreation activities</v>
      </c>
    </row>
    <row r="995" spans="1:4" x14ac:dyDescent="0.3">
      <c r="A995" s="327" t="s">
        <v>2540</v>
      </c>
      <c r="B995" t="s">
        <v>2541</v>
      </c>
      <c r="C995" s="327"/>
      <c r="D995" s="327" t="str">
        <f t="shared" si="19"/>
        <v>NACE S - 93.21 Activities of amusement parks and theme parks</v>
      </c>
    </row>
    <row r="996" spans="1:4" x14ac:dyDescent="0.3">
      <c r="A996" s="327" t="s">
        <v>2542</v>
      </c>
      <c r="B996" t="s">
        <v>2543</v>
      </c>
      <c r="C996" s="327"/>
      <c r="D996" s="327" t="str">
        <f t="shared" si="19"/>
        <v>NACE S - 93.29 Amusement and recreation activities n.e.c.</v>
      </c>
    </row>
    <row r="997" spans="1:4" x14ac:dyDescent="0.3">
      <c r="A997" s="324" t="s">
        <v>2544</v>
      </c>
      <c r="B997" t="s">
        <v>2545</v>
      </c>
      <c r="C997" s="327"/>
      <c r="D997" s="324" t="str">
        <f t="shared" si="19"/>
        <v>NACE T - OTHER SERVICE ACTIVITIES</v>
      </c>
    </row>
    <row r="998" spans="1:4" x14ac:dyDescent="0.3">
      <c r="A998" s="323" t="s">
        <v>2546</v>
      </c>
      <c r="B998" t="s">
        <v>2547</v>
      </c>
      <c r="C998" s="327"/>
      <c r="D998" s="323" t="str">
        <f t="shared" si="19"/>
        <v>NACE T - 94 Activities of membership organisations</v>
      </c>
    </row>
    <row r="999" spans="1:4" x14ac:dyDescent="0.3">
      <c r="A999" s="326" t="s">
        <v>2548</v>
      </c>
      <c r="B999" t="s">
        <v>2549</v>
      </c>
      <c r="C999" s="327"/>
      <c r="D999" s="326" t="str">
        <f t="shared" si="19"/>
        <v>NACE T - 94.1 Activities of business, employers and professional membership organisations</v>
      </c>
    </row>
    <row r="1000" spans="1:4" x14ac:dyDescent="0.3">
      <c r="A1000" s="327" t="s">
        <v>2550</v>
      </c>
      <c r="B1000" t="s">
        <v>2551</v>
      </c>
      <c r="C1000" s="327"/>
      <c r="D1000" s="327" t="str">
        <f t="shared" si="19"/>
        <v>NACE T - 94.11 Activities of business and employers membership organisations</v>
      </c>
    </row>
    <row r="1001" spans="1:4" x14ac:dyDescent="0.3">
      <c r="A1001" s="327" t="s">
        <v>2552</v>
      </c>
      <c r="B1001" t="s">
        <v>2553</v>
      </c>
      <c r="C1001" s="327"/>
      <c r="D1001" s="327" t="str">
        <f t="shared" si="19"/>
        <v>NACE T - 94.12 Activities of professional membership organisations</v>
      </c>
    </row>
    <row r="1002" spans="1:4" x14ac:dyDescent="0.3">
      <c r="A1002" s="326" t="s">
        <v>2554</v>
      </c>
      <c r="B1002" t="s">
        <v>2555</v>
      </c>
      <c r="C1002" s="327"/>
      <c r="D1002" s="326" t="str">
        <f t="shared" si="19"/>
        <v>NACE T - 94.2 Activities of trade unions</v>
      </c>
    </row>
    <row r="1003" spans="1:4" x14ac:dyDescent="0.3">
      <c r="A1003" s="327" t="s">
        <v>2556</v>
      </c>
      <c r="B1003" t="s">
        <v>2557</v>
      </c>
      <c r="C1003" s="327"/>
      <c r="D1003" s="327" t="str">
        <f t="shared" si="19"/>
        <v>NACE T - 94.20 Activities of trade unions</v>
      </c>
    </row>
    <row r="1004" spans="1:4" x14ac:dyDescent="0.3">
      <c r="A1004" s="326" t="s">
        <v>2558</v>
      </c>
      <c r="B1004" t="s">
        <v>2559</v>
      </c>
      <c r="C1004" s="327"/>
      <c r="D1004" s="326" t="str">
        <f t="shared" si="19"/>
        <v>NACE T - 94.9 Activities of other membership organisations</v>
      </c>
    </row>
    <row r="1005" spans="1:4" x14ac:dyDescent="0.3">
      <c r="A1005" s="327" t="s">
        <v>2560</v>
      </c>
      <c r="B1005" t="s">
        <v>2561</v>
      </c>
      <c r="C1005" s="327"/>
      <c r="D1005" s="327" t="str">
        <f t="shared" si="19"/>
        <v>NACE T - 94.91 Activities of religious organisations</v>
      </c>
    </row>
    <row r="1006" spans="1:4" x14ac:dyDescent="0.3">
      <c r="A1006" s="327" t="s">
        <v>2562</v>
      </c>
      <c r="B1006" t="s">
        <v>2563</v>
      </c>
      <c r="C1006" s="327"/>
      <c r="D1006" s="327" t="str">
        <f t="shared" si="19"/>
        <v>NACE T - 94.92 Activities of political organisations</v>
      </c>
    </row>
    <row r="1007" spans="1:4" x14ac:dyDescent="0.3">
      <c r="A1007" s="327" t="s">
        <v>2564</v>
      </c>
      <c r="B1007" t="s">
        <v>2565</v>
      </c>
      <c r="C1007" s="327"/>
      <c r="D1007" s="327" t="str">
        <f t="shared" si="19"/>
        <v>NACE T - 94.99 Activities of other membership organisations n.e.c.</v>
      </c>
    </row>
    <row r="1008" spans="1:4" x14ac:dyDescent="0.3">
      <c r="A1008" s="323" t="s">
        <v>2566</v>
      </c>
      <c r="B1008" t="s">
        <v>2567</v>
      </c>
      <c r="C1008" s="327"/>
      <c r="D1008" s="323" t="str">
        <f t="shared" si="19"/>
        <v>NACE T - 95 Repair and maintenance of computers, personal and household goods, and motor vehicles and motorcycles</v>
      </c>
    </row>
    <row r="1009" spans="1:4" x14ac:dyDescent="0.3">
      <c r="A1009" s="326" t="s">
        <v>2568</v>
      </c>
      <c r="B1009" t="s">
        <v>2569</v>
      </c>
      <c r="C1009" s="327"/>
      <c r="D1009" s="326" t="str">
        <f t="shared" si="19"/>
        <v>NACE T - 95.1 Repair and maintenance of computers and communication equipment</v>
      </c>
    </row>
    <row r="1010" spans="1:4" x14ac:dyDescent="0.3">
      <c r="A1010" s="327" t="s">
        <v>2570</v>
      </c>
      <c r="B1010" t="s">
        <v>2571</v>
      </c>
      <c r="C1010" s="327"/>
      <c r="D1010" s="327" t="str">
        <f t="shared" si="19"/>
        <v>NACE T - 95.10 Repair and maintenance of computers and communication equipment</v>
      </c>
    </row>
    <row r="1011" spans="1:4" x14ac:dyDescent="0.3">
      <c r="A1011" s="326" t="s">
        <v>2572</v>
      </c>
      <c r="B1011" t="s">
        <v>2573</v>
      </c>
      <c r="C1011" s="327"/>
      <c r="D1011" s="326" t="str">
        <f t="shared" si="19"/>
        <v>NACE T - 95.2 Repair and maintenance of personal and household goods</v>
      </c>
    </row>
    <row r="1012" spans="1:4" x14ac:dyDescent="0.3">
      <c r="A1012" s="327" t="s">
        <v>2574</v>
      </c>
      <c r="B1012" t="s">
        <v>2575</v>
      </c>
      <c r="C1012" s="327"/>
      <c r="D1012" s="327" t="str">
        <f t="shared" si="19"/>
        <v>NACE T - 95.21 Repair and maintenance of consumer electronics</v>
      </c>
    </row>
    <row r="1013" spans="1:4" x14ac:dyDescent="0.3">
      <c r="A1013" s="327" t="s">
        <v>2576</v>
      </c>
      <c r="B1013" t="s">
        <v>2577</v>
      </c>
      <c r="C1013" s="327"/>
      <c r="D1013" s="327" t="str">
        <f t="shared" si="19"/>
        <v>NACE T - 95.22 Repair and maintenance of household appliances and home and garden equipment</v>
      </c>
    </row>
    <row r="1014" spans="1:4" x14ac:dyDescent="0.3">
      <c r="A1014" s="327" t="s">
        <v>2578</v>
      </c>
      <c r="B1014" t="s">
        <v>2579</v>
      </c>
      <c r="C1014" s="327"/>
      <c r="D1014" s="327" t="str">
        <f t="shared" si="19"/>
        <v>NACE T - 95.23 Repair and maintenance of footwear and leather goods</v>
      </c>
    </row>
    <row r="1015" spans="1:4" x14ac:dyDescent="0.3">
      <c r="A1015" s="327" t="s">
        <v>2580</v>
      </c>
      <c r="B1015" t="s">
        <v>2581</v>
      </c>
      <c r="C1015" s="327"/>
      <c r="D1015" s="327" t="str">
        <f t="shared" si="19"/>
        <v>NACE T - 95.24 Repair and maintenance of furniture and home furnishings</v>
      </c>
    </row>
    <row r="1016" spans="1:4" x14ac:dyDescent="0.3">
      <c r="A1016" s="327" t="s">
        <v>2582</v>
      </c>
      <c r="B1016" t="s">
        <v>2583</v>
      </c>
      <c r="C1016" s="327"/>
      <c r="D1016" s="327" t="str">
        <f t="shared" si="19"/>
        <v>NACE T - 95.25 Repair and maintenance of watches, clocks and jewellery</v>
      </c>
    </row>
    <row r="1017" spans="1:4" x14ac:dyDescent="0.3">
      <c r="A1017" s="327" t="s">
        <v>2584</v>
      </c>
      <c r="B1017" t="s">
        <v>2585</v>
      </c>
      <c r="C1017" s="327"/>
      <c r="D1017" s="327" t="str">
        <f t="shared" si="19"/>
        <v>NACE T - 95.29 Repair and maintenance of personal and household goods n.e.c.</v>
      </c>
    </row>
    <row r="1018" spans="1:4" x14ac:dyDescent="0.3">
      <c r="A1018" s="326" t="s">
        <v>2586</v>
      </c>
      <c r="B1018" t="s">
        <v>2587</v>
      </c>
      <c r="C1018" s="327"/>
      <c r="D1018" s="326" t="str">
        <f t="shared" si="19"/>
        <v>NACE T - 95.3 Repair and maintenance of motor vehicles and motorcycles</v>
      </c>
    </row>
    <row r="1019" spans="1:4" x14ac:dyDescent="0.3">
      <c r="A1019" s="327" t="s">
        <v>2588</v>
      </c>
      <c r="B1019" t="s">
        <v>2589</v>
      </c>
      <c r="C1019" s="327"/>
      <c r="D1019" s="327" t="str">
        <f t="shared" si="19"/>
        <v>NACE T - 95.31 Repair and maintenance of motor vehicles</v>
      </c>
    </row>
    <row r="1020" spans="1:4" x14ac:dyDescent="0.3">
      <c r="A1020" s="327" t="s">
        <v>2590</v>
      </c>
      <c r="B1020" t="s">
        <v>2591</v>
      </c>
      <c r="C1020" s="327"/>
      <c r="D1020" s="327" t="str">
        <f t="shared" si="19"/>
        <v>NACE T - 95.32 Repair and maintenance of motorcycles</v>
      </c>
    </row>
    <row r="1021" spans="1:4" x14ac:dyDescent="0.3">
      <c r="A1021" s="326" t="s">
        <v>2592</v>
      </c>
      <c r="B1021" t="s">
        <v>2593</v>
      </c>
      <c r="C1021" s="327"/>
      <c r="D1021" s="326" t="str">
        <f t="shared" si="19"/>
        <v>NACE T - 95.4 Intermediation service activities for repair and maintenance of computers, personal and household goods, and motor vehicles and motorcycles</v>
      </c>
    </row>
    <row r="1022" spans="1:4" x14ac:dyDescent="0.3">
      <c r="A1022" s="327" t="s">
        <v>2594</v>
      </c>
      <c r="B1022" t="s">
        <v>2595</v>
      </c>
      <c r="C1022" s="327"/>
      <c r="D1022" s="327" t="str">
        <f t="shared" si="19"/>
        <v>NACE T - 95.40 Intermediation service activities for repair and maintenance of computers, personal and household goods, and motor vehicles and motorcycles</v>
      </c>
    </row>
    <row r="1023" spans="1:4" x14ac:dyDescent="0.3">
      <c r="A1023" s="323" t="s">
        <v>2596</v>
      </c>
      <c r="B1023" t="s">
        <v>2597</v>
      </c>
      <c r="C1023" s="327"/>
      <c r="D1023" s="323" t="str">
        <f t="shared" si="19"/>
        <v>NACE T - 96 Personal service activities</v>
      </c>
    </row>
    <row r="1024" spans="1:4" x14ac:dyDescent="0.3">
      <c r="A1024" s="326" t="s">
        <v>2598</v>
      </c>
      <c r="B1024" t="s">
        <v>2599</v>
      </c>
      <c r="C1024" s="327"/>
      <c r="D1024" s="326" t="str">
        <f t="shared" si="19"/>
        <v>NACE T - 96.1 Washing and cleaning of textile and fur products</v>
      </c>
    </row>
    <row r="1025" spans="1:4" x14ac:dyDescent="0.3">
      <c r="A1025" s="327" t="s">
        <v>2600</v>
      </c>
      <c r="B1025" t="s">
        <v>2601</v>
      </c>
      <c r="C1025" s="327"/>
      <c r="D1025" s="327" t="str">
        <f t="shared" si="19"/>
        <v>NACE T - 96.10 Washing and cleaning of textile and fur products</v>
      </c>
    </row>
    <row r="1026" spans="1:4" x14ac:dyDescent="0.3">
      <c r="A1026" s="326" t="s">
        <v>2602</v>
      </c>
      <c r="B1026" t="s">
        <v>2603</v>
      </c>
      <c r="C1026" s="327"/>
      <c r="D1026" s="326" t="str">
        <f t="shared" ref="D1026:D1049" si="20">_xlfn.CONCAT("NACE ", A1026)</f>
        <v>NACE T - 96.2 Hairdressing, beauty treatment, day spa and similar activities</v>
      </c>
    </row>
    <row r="1027" spans="1:4" x14ac:dyDescent="0.3">
      <c r="A1027" s="327" t="s">
        <v>2604</v>
      </c>
      <c r="B1027" t="s">
        <v>2605</v>
      </c>
      <c r="C1027" s="327"/>
      <c r="D1027" s="327" t="str">
        <f t="shared" si="20"/>
        <v>NACE T - 96.21 Hairdressing and barber activities</v>
      </c>
    </row>
    <row r="1028" spans="1:4" x14ac:dyDescent="0.3">
      <c r="A1028" s="327" t="s">
        <v>2606</v>
      </c>
      <c r="B1028" t="s">
        <v>2607</v>
      </c>
      <c r="C1028" s="327"/>
      <c r="D1028" s="327" t="str">
        <f t="shared" si="20"/>
        <v>NACE T - 96.22 Beauty care and other beauty treatment activities</v>
      </c>
    </row>
    <row r="1029" spans="1:4" x14ac:dyDescent="0.3">
      <c r="A1029" s="327" t="s">
        <v>2608</v>
      </c>
      <c r="B1029" t="s">
        <v>2609</v>
      </c>
      <c r="C1029" s="327"/>
      <c r="D1029" s="327" t="str">
        <f t="shared" si="20"/>
        <v>NACE T - 96.23 Day spa, sauna and steam bath activities</v>
      </c>
    </row>
    <row r="1030" spans="1:4" x14ac:dyDescent="0.3">
      <c r="A1030" s="326" t="s">
        <v>2610</v>
      </c>
      <c r="B1030" t="s">
        <v>2611</v>
      </c>
      <c r="C1030" s="327"/>
      <c r="D1030" s="326" t="str">
        <f t="shared" si="20"/>
        <v>NACE T - 96.3 Funeral and related activities</v>
      </c>
    </row>
    <row r="1031" spans="1:4" x14ac:dyDescent="0.3">
      <c r="A1031" s="327" t="s">
        <v>2612</v>
      </c>
      <c r="B1031" t="s">
        <v>2613</v>
      </c>
      <c r="C1031" s="327"/>
      <c r="D1031" s="327" t="str">
        <f t="shared" si="20"/>
        <v>NACE T - 96.30 Funeral and related activities</v>
      </c>
    </row>
    <row r="1032" spans="1:4" x14ac:dyDescent="0.3">
      <c r="A1032" s="326" t="s">
        <v>2614</v>
      </c>
      <c r="B1032" t="s">
        <v>2615</v>
      </c>
      <c r="C1032" s="327"/>
      <c r="D1032" s="326" t="str">
        <f t="shared" si="20"/>
        <v>NACE T - 96.4 Intermediation service activities for personal services</v>
      </c>
    </row>
    <row r="1033" spans="1:4" x14ac:dyDescent="0.3">
      <c r="A1033" s="327" t="s">
        <v>2616</v>
      </c>
      <c r="B1033" t="s">
        <v>2617</v>
      </c>
      <c r="C1033" s="327"/>
      <c r="D1033" s="327" t="str">
        <f t="shared" si="20"/>
        <v>NACE T - 96.40 Intermediation service activities for personal services</v>
      </c>
    </row>
    <row r="1034" spans="1:4" x14ac:dyDescent="0.3">
      <c r="A1034" s="326" t="s">
        <v>2618</v>
      </c>
      <c r="B1034" t="s">
        <v>2619</v>
      </c>
      <c r="C1034" s="327"/>
      <c r="D1034" s="326" t="str">
        <f t="shared" si="20"/>
        <v>NACE T - 96.9 Other personal service activities</v>
      </c>
    </row>
    <row r="1035" spans="1:4" x14ac:dyDescent="0.3">
      <c r="A1035" s="327" t="s">
        <v>2620</v>
      </c>
      <c r="B1035" t="s">
        <v>2621</v>
      </c>
      <c r="C1035" s="327"/>
      <c r="D1035" s="327" t="str">
        <f t="shared" si="20"/>
        <v>NACE T - 96.91 Provision of domestic personal service activities</v>
      </c>
    </row>
    <row r="1036" spans="1:4" x14ac:dyDescent="0.3">
      <c r="A1036" s="327" t="s">
        <v>2622</v>
      </c>
      <c r="B1036" t="s">
        <v>2623</v>
      </c>
      <c r="C1036" s="327"/>
      <c r="D1036" s="327" t="str">
        <f t="shared" si="20"/>
        <v>NACE T - 96.99 Other personal service activities n.e.c.</v>
      </c>
    </row>
    <row r="1037" spans="1:4" x14ac:dyDescent="0.3">
      <c r="A1037" s="324" t="s">
        <v>2624</v>
      </c>
      <c r="B1037" t="s">
        <v>2625</v>
      </c>
      <c r="C1037" s="327"/>
      <c r="D1037" s="324" t="str">
        <f t="shared" si="20"/>
        <v>NACE U - ACTIVITIES OF HOUSEHOLDS AS EMPLOYERS AND UNDIFFERENTIATED GOODS – AND SERVICE-PRODUCING ACTIVITIES OF HOUSEHOLDS FOR OWN USE</v>
      </c>
    </row>
    <row r="1038" spans="1:4" x14ac:dyDescent="0.3">
      <c r="A1038" s="323" t="s">
        <v>2626</v>
      </c>
      <c r="B1038" t="s">
        <v>2627</v>
      </c>
      <c r="C1038" s="327"/>
      <c r="D1038" s="323" t="str">
        <f t="shared" si="20"/>
        <v>NACE U - 97 Activities of households as employers of domestic personnel</v>
      </c>
    </row>
    <row r="1039" spans="1:4" x14ac:dyDescent="0.3">
      <c r="A1039" s="326" t="s">
        <v>2628</v>
      </c>
      <c r="B1039" t="s">
        <v>2629</v>
      </c>
      <c r="C1039" s="327"/>
      <c r="D1039" s="326" t="str">
        <f t="shared" si="20"/>
        <v>NACE U - 97.0 Activities of households as employers of domestic personnel</v>
      </c>
    </row>
    <row r="1040" spans="1:4" x14ac:dyDescent="0.3">
      <c r="A1040" s="327" t="s">
        <v>2630</v>
      </c>
      <c r="B1040" t="s">
        <v>2631</v>
      </c>
      <c r="C1040" s="327"/>
      <c r="D1040" s="327" t="str">
        <f t="shared" si="20"/>
        <v>NACE U - 97.00 Activities of households as employers of domestic personnel</v>
      </c>
    </row>
    <row r="1041" spans="1:4" x14ac:dyDescent="0.3">
      <c r="A1041" s="323" t="s">
        <v>2632</v>
      </c>
      <c r="B1041" t="s">
        <v>2633</v>
      </c>
      <c r="C1041" s="327"/>
      <c r="D1041" s="323" t="str">
        <f t="shared" si="20"/>
        <v>NACE U - 98 Undifferentiated goods- and service-producing activities of private households for own use</v>
      </c>
    </row>
    <row r="1042" spans="1:4" x14ac:dyDescent="0.3">
      <c r="A1042" s="326" t="s">
        <v>2634</v>
      </c>
      <c r="B1042" t="s">
        <v>2635</v>
      </c>
      <c r="C1042" s="327"/>
      <c r="D1042" s="326" t="str">
        <f t="shared" si="20"/>
        <v>NACE U - 98.1 Undifferentiated goods-producing activities of private households for own use</v>
      </c>
    </row>
    <row r="1043" spans="1:4" x14ac:dyDescent="0.3">
      <c r="A1043" s="327" t="s">
        <v>2636</v>
      </c>
      <c r="B1043" t="s">
        <v>2637</v>
      </c>
      <c r="C1043" s="327"/>
      <c r="D1043" s="327" t="str">
        <f t="shared" si="20"/>
        <v>NACE U - 98.10 Undifferentiated goods-producing activities of private households for own use</v>
      </c>
    </row>
    <row r="1044" spans="1:4" x14ac:dyDescent="0.3">
      <c r="A1044" s="326" t="s">
        <v>2638</v>
      </c>
      <c r="B1044" t="s">
        <v>2639</v>
      </c>
      <c r="C1044" s="327"/>
      <c r="D1044" s="326" t="str">
        <f t="shared" si="20"/>
        <v>NACE U - 98.2 Undifferentiated service-producing activities of private households for own use</v>
      </c>
    </row>
    <row r="1045" spans="1:4" x14ac:dyDescent="0.3">
      <c r="A1045" s="327" t="s">
        <v>2640</v>
      </c>
      <c r="B1045" t="s">
        <v>2641</v>
      </c>
      <c r="C1045" s="327"/>
      <c r="D1045" s="327" t="str">
        <f t="shared" si="20"/>
        <v>NACE U - 98.20 Undifferentiated service-producing activities of private households for own use</v>
      </c>
    </row>
    <row r="1046" spans="1:4" x14ac:dyDescent="0.3">
      <c r="A1046" s="324" t="s">
        <v>2642</v>
      </c>
      <c r="B1046" t="s">
        <v>2643</v>
      </c>
      <c r="C1046" s="327"/>
      <c r="D1046" s="324" t="str">
        <f t="shared" si="20"/>
        <v>NACE V - ACTIVITIES OF EXTRATERRITORIAL ORGANISATIONS AND BODIES</v>
      </c>
    </row>
    <row r="1047" spans="1:4" x14ac:dyDescent="0.3">
      <c r="A1047" s="323" t="s">
        <v>2644</v>
      </c>
      <c r="B1047" t="s">
        <v>2645</v>
      </c>
      <c r="C1047" s="327"/>
      <c r="D1047" s="323" t="str">
        <f t="shared" si="20"/>
        <v>NACE V - 99 Activities of extraterritorial organisations and bodies</v>
      </c>
    </row>
    <row r="1048" spans="1:4" x14ac:dyDescent="0.3">
      <c r="A1048" s="326" t="s">
        <v>2646</v>
      </c>
      <c r="B1048" t="s">
        <v>2647</v>
      </c>
      <c r="C1048" s="327"/>
      <c r="D1048" s="326" t="str">
        <f t="shared" si="20"/>
        <v>NACE V - 99.0 Activities of extraterritorial organisations and bodies</v>
      </c>
    </row>
    <row r="1049" spans="1:4" x14ac:dyDescent="0.3">
      <c r="A1049" s="327" t="s">
        <v>2648</v>
      </c>
      <c r="B1049" t="s">
        <v>2649</v>
      </c>
      <c r="C1049" s="327"/>
      <c r="D1049" s="327" t="str">
        <f t="shared" si="20"/>
        <v>NACE V - 99.00 Activities of extraterritorial organisations and bodies</v>
      </c>
    </row>
  </sheetData>
  <sheetProtection algorithmName="SHA-512" hashValue="IJMMb1TZThJxOhyQQT9gS9EZ5rW28xSzQIs60wJ0AejRhby/Z7hpnXMXN7nsIAxtPsYi9ScEydxgjBng5WhkPg==" saltValue="OaeDIhBkWDKMybX+aI2zAQ==" spinCount="100000" sheet="1" objects="1" scenarios="1"/>
  <sortState xmlns:xlrd2="http://schemas.microsoft.com/office/spreadsheetml/2017/richdata2" ref="C2:C1048">
    <sortCondition ref="C2:C1048"/>
  </sortState>
  <phoneticPr fontId="3" type="noConversion"/>
  <dataValidations count="1">
    <dataValidation type="list" allowBlank="1" showInputMessage="1" showErrorMessage="1" sqref="D3:D1049" xr:uid="{C5A457C6-D163-469A-A04B-AC21FACC80E7}">
      <formula1>$D$3:$D$1049</formula1>
    </dataValidation>
  </dataValidations>
  <pageMargins left="0.7" right="0.7" top="0.75" bottom="0.75" header="0.3" footer="0.3"/>
  <pageSetup paperSize="9" orientation="portrait" horizontalDpi="4294967293" vertic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dimension ref="A1:K824"/>
  <sheetViews>
    <sheetView zoomScaleNormal="100" workbookViewId="0"/>
  </sheetViews>
  <sheetFormatPr defaultColWidth="11" defaultRowHeight="14.4" x14ac:dyDescent="0.3"/>
  <cols>
    <col min="1" max="1" width="52.21875" customWidth="1"/>
    <col min="2" max="2" width="56.21875" customWidth="1"/>
    <col min="3" max="4" width="50.77734375" customWidth="1"/>
    <col min="5" max="5" width="50.77734375" style="2" customWidth="1"/>
    <col min="6" max="6" width="51.109375" style="2" bestFit="1" customWidth="1"/>
    <col min="7" max="10" width="50.77734375" customWidth="1"/>
    <col min="11" max="11" width="50.77734375" style="2" customWidth="1"/>
  </cols>
  <sheetData>
    <row r="1" spans="1:11" s="118" customFormat="1" x14ac:dyDescent="0.3">
      <c r="A1" s="390" t="s">
        <v>3948</v>
      </c>
      <c r="B1" s="391" t="s">
        <v>5637</v>
      </c>
      <c r="C1" s="389" t="s">
        <v>5686</v>
      </c>
      <c r="D1" s="474" t="s">
        <v>8497</v>
      </c>
      <c r="E1" s="474" t="s">
        <v>8944</v>
      </c>
      <c r="F1" s="474" t="s">
        <v>7550</v>
      </c>
      <c r="G1" s="474" t="s">
        <v>8946</v>
      </c>
      <c r="H1" s="389" t="s">
        <v>7167</v>
      </c>
      <c r="I1" s="389" t="s">
        <v>6459</v>
      </c>
      <c r="J1" s="389" t="s">
        <v>7530</v>
      </c>
      <c r="K1" s="474" t="s">
        <v>6798</v>
      </c>
    </row>
    <row r="2" spans="1:11" s="433" customFormat="1" x14ac:dyDescent="0.3">
      <c r="A2" s="388"/>
      <c r="B2" s="85"/>
      <c r="C2" s="387" t="s">
        <v>3949</v>
      </c>
      <c r="D2" s="475" t="s">
        <v>8948</v>
      </c>
      <c r="E2" s="475" t="s">
        <v>8945</v>
      </c>
      <c r="F2" s="475" t="s">
        <v>4625</v>
      </c>
      <c r="G2" s="475" t="s">
        <v>8947</v>
      </c>
      <c r="H2" s="387" t="s">
        <v>4626</v>
      </c>
      <c r="I2" s="387" t="s">
        <v>4627</v>
      </c>
      <c r="J2" s="387" t="s">
        <v>4628</v>
      </c>
      <c r="K2" s="475" t="s">
        <v>4629</v>
      </c>
    </row>
    <row r="3" spans="1:11" ht="28.8" x14ac:dyDescent="0.3">
      <c r="A3" s="388"/>
      <c r="B3" s="392"/>
      <c r="C3" s="387" t="str">
        <f>C1&amp; " [" &amp;C2 &amp; "]"</f>
        <v>English - Official [en]</v>
      </c>
      <c r="D3" s="475" t="str">
        <f t="shared" ref="D3" si="0">D1&amp; " [" &amp;D2 &amp; "]"</f>
        <v>Danish - Reviewed translation by Danish Standard Setter [da]</v>
      </c>
      <c r="E3" s="475" t="str">
        <f>E1&amp; " [" &amp;E2 &amp; "]"</f>
        <v>French - Reviewed translation by French Standard Setter [fr]</v>
      </c>
      <c r="F3" s="475" t="str">
        <f t="shared" ref="F3" si="1">F1&amp; " [" &amp;F2 &amp; "]"</f>
        <v>German - Reviewed translation by German Standard Setter [de]</v>
      </c>
      <c r="G3" s="475" t="str">
        <f t="shared" ref="G3" si="2">G1&amp; " [" &amp;G2 &amp; "]"</f>
        <v>Italian - Reviewed translation by Italian Standard Setter [it]</v>
      </c>
      <c r="H3" s="387" t="str">
        <f t="shared" ref="H3:K3" si="3">H1&amp; " [" &amp;H2 &amp; "]"</f>
        <v>Lithuanian - Reviewed translation by Lithuanian Standard Setter [lt]</v>
      </c>
      <c r="I3" s="387" t="str">
        <f t="shared" si="3"/>
        <v>Polish - Reviewed translation by Polish Standard Setter [pl]</v>
      </c>
      <c r="J3" s="387" t="str">
        <f t="shared" si="3"/>
        <v>Portuguese - Reviewed translation by Portuguese Standard Setter [pt]</v>
      </c>
      <c r="K3" s="475" t="str">
        <f t="shared" si="3"/>
        <v>Spanish - Reviewed translation by Spanish Standard Setter [es]</v>
      </c>
    </row>
    <row r="4" spans="1:11" s="89" customFormat="1" x14ac:dyDescent="0.3">
      <c r="A4" s="422" t="s">
        <v>5618</v>
      </c>
      <c r="B4" s="423" t="str">
        <f t="shared" ref="B4:B67" si="4">INDEX(C4:K4,MATCH(template_selected_display_language,$C$3:$K$3,0))</f>
        <v>Entity Name</v>
      </c>
      <c r="C4" s="89" t="s">
        <v>5611</v>
      </c>
      <c r="D4" s="470" t="s">
        <v>8021</v>
      </c>
      <c r="E4" s="470" t="s">
        <v>8499</v>
      </c>
      <c r="F4" s="471" t="s">
        <v>7551</v>
      </c>
      <c r="G4" s="89" t="s">
        <v>9060</v>
      </c>
      <c r="H4" s="89" t="s">
        <v>6799</v>
      </c>
      <c r="I4" s="89" t="s">
        <v>5900</v>
      </c>
      <c r="J4" s="89" t="s">
        <v>7176</v>
      </c>
      <c r="K4" s="456" t="s">
        <v>6516</v>
      </c>
    </row>
    <row r="5" spans="1:11" s="89" customFormat="1" x14ac:dyDescent="0.3">
      <c r="A5" s="422" t="s">
        <v>5615</v>
      </c>
      <c r="B5" s="423" t="str">
        <f t="shared" si="4"/>
        <v>Entity Identifier</v>
      </c>
      <c r="C5" s="89" t="s">
        <v>5612</v>
      </c>
      <c r="D5" s="470" t="s">
        <v>8022</v>
      </c>
      <c r="E5" s="470" t="s">
        <v>8500</v>
      </c>
      <c r="F5" s="471" t="s">
        <v>7552</v>
      </c>
      <c r="G5" s="89" t="s">
        <v>9061</v>
      </c>
      <c r="H5" s="89" t="s">
        <v>6800</v>
      </c>
      <c r="I5" s="89" t="s">
        <v>5901</v>
      </c>
      <c r="J5" s="89" t="s">
        <v>7177</v>
      </c>
      <c r="K5" s="456" t="s">
        <v>5699</v>
      </c>
    </row>
    <row r="6" spans="1:11" s="89" customFormat="1" x14ac:dyDescent="0.3">
      <c r="A6" s="422" t="s">
        <v>5616</v>
      </c>
      <c r="B6" s="423" t="str">
        <f t="shared" si="4"/>
        <v>Entity Identifier Scheme</v>
      </c>
      <c r="C6" s="89" t="s">
        <v>5613</v>
      </c>
      <c r="D6" s="470" t="s">
        <v>8023</v>
      </c>
      <c r="E6" s="470" t="s">
        <v>8501</v>
      </c>
      <c r="F6" s="471" t="s">
        <v>7553</v>
      </c>
      <c r="G6" s="89" t="s">
        <v>9062</v>
      </c>
      <c r="H6" s="89" t="s">
        <v>6801</v>
      </c>
      <c r="I6" s="89" t="s">
        <v>6131</v>
      </c>
      <c r="J6" s="89" t="s">
        <v>7178</v>
      </c>
      <c r="K6" s="456" t="s">
        <v>6517</v>
      </c>
    </row>
    <row r="7" spans="1:11" s="89" customFormat="1" x14ac:dyDescent="0.3">
      <c r="A7" s="422" t="s">
        <v>5617</v>
      </c>
      <c r="B7" s="423" t="str">
        <f t="shared" si="4"/>
        <v>Report currency</v>
      </c>
      <c r="C7" s="89" t="s">
        <v>5614</v>
      </c>
      <c r="D7" s="470" t="s">
        <v>8024</v>
      </c>
      <c r="E7" s="470" t="s">
        <v>8502</v>
      </c>
      <c r="F7" s="471" t="s">
        <v>7554</v>
      </c>
      <c r="G7" s="89" t="s">
        <v>9063</v>
      </c>
      <c r="H7" s="89" t="s">
        <v>5987</v>
      </c>
      <c r="I7" s="89" t="s">
        <v>6132</v>
      </c>
      <c r="J7" s="89" t="s">
        <v>7179</v>
      </c>
      <c r="K7" s="456" t="s">
        <v>6499</v>
      </c>
    </row>
    <row r="8" spans="1:11" s="89" customFormat="1" x14ac:dyDescent="0.3">
      <c r="A8" s="422" t="s">
        <v>5620</v>
      </c>
      <c r="B8" s="423" t="str">
        <f t="shared" si="4"/>
        <v>Decimal separator</v>
      </c>
      <c r="C8" s="89" t="s">
        <v>5619</v>
      </c>
      <c r="D8" s="470" t="s">
        <v>5619</v>
      </c>
      <c r="E8" s="470" t="s">
        <v>8503</v>
      </c>
      <c r="F8" s="471" t="s">
        <v>7555</v>
      </c>
      <c r="G8" s="89" t="s">
        <v>9064</v>
      </c>
      <c r="H8" s="89" t="s">
        <v>6802</v>
      </c>
      <c r="I8" s="89" t="s">
        <v>6066</v>
      </c>
      <c r="J8" s="89" t="s">
        <v>5700</v>
      </c>
      <c r="K8" s="456" t="s">
        <v>5700</v>
      </c>
    </row>
    <row r="9" spans="1:11" s="89" customFormat="1" ht="43.2" x14ac:dyDescent="0.3">
      <c r="A9" s="422" t="s">
        <v>5622</v>
      </c>
      <c r="B9" s="423" t="str">
        <f t="shared" si="4"/>
        <v>Report period</v>
      </c>
      <c r="C9" s="89" t="s">
        <v>5621</v>
      </c>
      <c r="D9" s="470" t="s">
        <v>8025</v>
      </c>
      <c r="E9" s="470" t="s">
        <v>8504</v>
      </c>
      <c r="F9" s="471" t="s">
        <v>7556</v>
      </c>
      <c r="G9" s="89" t="s">
        <v>9065</v>
      </c>
      <c r="H9" s="89" t="s">
        <v>6803</v>
      </c>
      <c r="I9" s="89" t="s">
        <v>5902</v>
      </c>
      <c r="J9" s="89" t="s">
        <v>5821</v>
      </c>
      <c r="K9" s="456" t="s">
        <v>6518</v>
      </c>
    </row>
    <row r="10" spans="1:11" s="89" customFormat="1" x14ac:dyDescent="0.3">
      <c r="A10" s="422" t="s">
        <v>5624</v>
      </c>
      <c r="B10" s="423" t="str">
        <f t="shared" si="4"/>
        <v>Report generated</v>
      </c>
      <c r="C10" s="89" t="s">
        <v>5623</v>
      </c>
      <c r="D10" s="470" t="s">
        <v>8026</v>
      </c>
      <c r="E10" s="470" t="s">
        <v>8505</v>
      </c>
      <c r="F10" s="471" t="s">
        <v>7557</v>
      </c>
      <c r="G10" s="89" t="s">
        <v>9066</v>
      </c>
      <c r="H10" s="89" t="s">
        <v>6804</v>
      </c>
      <c r="I10" s="89" t="s">
        <v>6133</v>
      </c>
      <c r="J10" s="89" t="s">
        <v>6083</v>
      </c>
      <c r="K10" s="456" t="s">
        <v>5701</v>
      </c>
    </row>
    <row r="11" spans="1:11" s="89" customFormat="1" ht="28.8" x14ac:dyDescent="0.3">
      <c r="A11" s="422" t="s">
        <v>5626</v>
      </c>
      <c r="B11" s="423" t="str">
        <f t="shared" si="4"/>
        <v>All disclosures are related to the reporting period above unless specified otherwise.</v>
      </c>
      <c r="C11" s="89" t="s">
        <v>5625</v>
      </c>
      <c r="D11" s="470" t="s">
        <v>8027</v>
      </c>
      <c r="E11" s="470" t="s">
        <v>8506</v>
      </c>
      <c r="F11" s="471" t="s">
        <v>7558</v>
      </c>
      <c r="G11" s="89" t="s">
        <v>9067</v>
      </c>
      <c r="H11" s="89" t="s">
        <v>6805</v>
      </c>
      <c r="I11" s="89" t="s">
        <v>6134</v>
      </c>
      <c r="J11" s="89" t="s">
        <v>7180</v>
      </c>
      <c r="K11" s="456" t="s">
        <v>6519</v>
      </c>
    </row>
    <row r="12" spans="1:11" s="89" customFormat="1" ht="43.2" x14ac:dyDescent="0.3">
      <c r="A12" s="422" t="s">
        <v>5627</v>
      </c>
      <c r="B12" s="423" t="str">
        <f t="shared" si="4"/>
        <v>Table of Contents</v>
      </c>
      <c r="C12" s="89" t="s">
        <v>3662</v>
      </c>
      <c r="D12" s="470" t="s">
        <v>8028</v>
      </c>
      <c r="E12" s="470" t="s">
        <v>8507</v>
      </c>
      <c r="F12" s="471" t="s">
        <v>7559</v>
      </c>
      <c r="G12" s="89" t="s">
        <v>9068</v>
      </c>
      <c r="H12" s="89" t="s">
        <v>5988</v>
      </c>
      <c r="I12" s="89" t="s">
        <v>5903</v>
      </c>
      <c r="J12" s="89" t="s">
        <v>5822</v>
      </c>
      <c r="K12" s="456" t="s">
        <v>6520</v>
      </c>
    </row>
    <row r="13" spans="1:11" s="89" customFormat="1" x14ac:dyDescent="0.3">
      <c r="A13" s="422" t="s">
        <v>5629</v>
      </c>
      <c r="B13" s="423" t="str">
        <f t="shared" si="4"/>
        <v>Reporting period:</v>
      </c>
      <c r="C13" s="89" t="s">
        <v>5628</v>
      </c>
      <c r="D13" s="470" t="s">
        <v>8029</v>
      </c>
      <c r="E13" s="470" t="s">
        <v>8508</v>
      </c>
      <c r="F13" s="471" t="s">
        <v>7560</v>
      </c>
      <c r="G13" s="89" t="s">
        <v>9065</v>
      </c>
      <c r="H13" s="89" t="s">
        <v>6806</v>
      </c>
      <c r="I13" s="89" t="s">
        <v>5902</v>
      </c>
      <c r="J13" s="89" t="s">
        <v>5823</v>
      </c>
      <c r="K13" s="456" t="s">
        <v>6521</v>
      </c>
    </row>
    <row r="14" spans="1:11" s="424" customFormat="1" ht="29.4" thickBot="1" x14ac:dyDescent="0.35">
      <c r="A14" s="434" t="s">
        <v>5631</v>
      </c>
      <c r="B14" s="457" t="str">
        <f t="shared" si="4"/>
        <v>This report contains {{ ns.fact_count }} XBRL facts ({{ facts | count }} unique facts).</v>
      </c>
      <c r="C14" s="424" t="s">
        <v>5630</v>
      </c>
      <c r="D14" s="478" t="s">
        <v>8030</v>
      </c>
      <c r="E14" s="478" t="s">
        <v>8509</v>
      </c>
      <c r="F14" s="472" t="s">
        <v>7561</v>
      </c>
      <c r="G14" s="424" t="s">
        <v>9069</v>
      </c>
      <c r="H14" s="424" t="s">
        <v>7532</v>
      </c>
      <c r="I14" s="424" t="s">
        <v>7529</v>
      </c>
      <c r="J14" s="424" t="s">
        <v>7528</v>
      </c>
      <c r="K14" s="476" t="s">
        <v>7531</v>
      </c>
    </row>
    <row r="15" spans="1:11" s="89" customFormat="1" x14ac:dyDescent="0.3">
      <c r="A15" s="422" t="s">
        <v>4467</v>
      </c>
      <c r="B15" s="423" t="str">
        <f t="shared" si="4"/>
        <v>Version:</v>
      </c>
      <c r="C15" s="89" t="s">
        <v>2881</v>
      </c>
      <c r="D15" s="470" t="s">
        <v>2881</v>
      </c>
      <c r="E15" s="470" t="s">
        <v>8510</v>
      </c>
      <c r="F15" s="471" t="s">
        <v>2881</v>
      </c>
      <c r="G15" s="89" t="s">
        <v>9070</v>
      </c>
      <c r="H15" s="89" t="s">
        <v>6047</v>
      </c>
      <c r="I15" s="89" t="s">
        <v>6135</v>
      </c>
      <c r="J15" s="89" t="s">
        <v>5824</v>
      </c>
      <c r="K15" s="456" t="s">
        <v>5702</v>
      </c>
    </row>
    <row r="16" spans="1:11" x14ac:dyDescent="0.3">
      <c r="A16" s="422" t="s">
        <v>4468</v>
      </c>
      <c r="B16" s="423" t="str">
        <f t="shared" si="4"/>
        <v>Publication date:</v>
      </c>
      <c r="C16" s="89" t="s">
        <v>2883</v>
      </c>
      <c r="D16" s="470" t="s">
        <v>8031</v>
      </c>
      <c r="E16" s="470" t="s">
        <v>8511</v>
      </c>
      <c r="F16" s="471" t="s">
        <v>7562</v>
      </c>
      <c r="G16" t="s">
        <v>9071</v>
      </c>
      <c r="H16" s="89" t="s">
        <v>6807</v>
      </c>
      <c r="I16" s="89" t="s">
        <v>5904</v>
      </c>
      <c r="J16" s="89" t="s">
        <v>6084</v>
      </c>
      <c r="K16" s="456" t="s">
        <v>5703</v>
      </c>
    </row>
    <row r="17" spans="1:11" x14ac:dyDescent="0.3">
      <c r="A17" s="422" t="s">
        <v>4469</v>
      </c>
      <c r="B17" s="423" t="str">
        <f t="shared" si="4"/>
        <v>Taxonomy entry point:</v>
      </c>
      <c r="C17" s="89" t="s">
        <v>3615</v>
      </c>
      <c r="D17" s="470" t="s">
        <v>8032</v>
      </c>
      <c r="E17" s="470" t="s">
        <v>8512</v>
      </c>
      <c r="F17" s="471" t="s">
        <v>7563</v>
      </c>
      <c r="G17" t="s">
        <v>9072</v>
      </c>
      <c r="H17" s="89" t="s">
        <v>6808</v>
      </c>
      <c r="I17" s="89" t="s">
        <v>6136</v>
      </c>
      <c r="J17" s="89" t="s">
        <v>7181</v>
      </c>
      <c r="K17" s="456" t="s">
        <v>6522</v>
      </c>
    </row>
    <row r="18" spans="1:11" x14ac:dyDescent="0.3">
      <c r="A18" s="422" t="s">
        <v>4470</v>
      </c>
      <c r="B18" s="423" t="str">
        <f t="shared" si="4"/>
        <v>Select Template Display Language:</v>
      </c>
      <c r="C18" s="89" t="s">
        <v>4027</v>
      </c>
      <c r="D18" s="470" t="s">
        <v>8033</v>
      </c>
      <c r="E18" s="470" t="s">
        <v>8513</v>
      </c>
      <c r="F18" s="471" t="s">
        <v>7564</v>
      </c>
      <c r="G18" t="s">
        <v>9073</v>
      </c>
      <c r="H18" s="89" t="s">
        <v>6809</v>
      </c>
      <c r="I18" s="89" t="s">
        <v>5905</v>
      </c>
      <c r="J18" s="89" t="s">
        <v>7182</v>
      </c>
      <c r="K18" s="456" t="s">
        <v>6523</v>
      </c>
    </row>
    <row r="19" spans="1:11" x14ac:dyDescent="0.3">
      <c r="A19" s="422" t="s">
        <v>6105</v>
      </c>
      <c r="B19" s="423" t="str">
        <f t="shared" si="4"/>
        <v>Main title of the report</v>
      </c>
      <c r="C19" s="89" t="s">
        <v>4633</v>
      </c>
      <c r="D19" s="470" t="s">
        <v>8034</v>
      </c>
      <c r="E19" s="470" t="s">
        <v>8514</v>
      </c>
      <c r="F19" s="471" t="s">
        <v>7565</v>
      </c>
      <c r="G19" t="s">
        <v>9074</v>
      </c>
      <c r="H19" s="89" t="s">
        <v>6106</v>
      </c>
      <c r="I19" s="89" t="s">
        <v>6137</v>
      </c>
      <c r="J19" s="89" t="s">
        <v>6107</v>
      </c>
      <c r="K19" s="456" t="s">
        <v>6108</v>
      </c>
    </row>
    <row r="20" spans="1:11" x14ac:dyDescent="0.3">
      <c r="A20" s="422" t="s">
        <v>6103</v>
      </c>
      <c r="B20" s="423" t="str">
        <f t="shared" si="4"/>
        <v xml:space="preserve">Sustainability Report </v>
      </c>
      <c r="C20" s="89" t="s">
        <v>4634</v>
      </c>
      <c r="D20" s="470" t="s">
        <v>8035</v>
      </c>
      <c r="E20" s="470" t="s">
        <v>8515</v>
      </c>
      <c r="F20" s="471" t="s">
        <v>7566</v>
      </c>
      <c r="G20" t="s">
        <v>9075</v>
      </c>
      <c r="H20" s="89" t="s">
        <v>5989</v>
      </c>
      <c r="I20" s="89" t="s">
        <v>6138</v>
      </c>
      <c r="J20" s="89" t="s">
        <v>6085</v>
      </c>
      <c r="K20" s="456" t="s">
        <v>6524</v>
      </c>
    </row>
    <row r="21" spans="1:11" ht="43.2" x14ac:dyDescent="0.3">
      <c r="A21" s="422" t="s">
        <v>6109</v>
      </c>
      <c r="B21" s="423" t="str">
        <f t="shared" si="4"/>
        <v>Subtitle of the report</v>
      </c>
      <c r="C21" s="89" t="s">
        <v>4657</v>
      </c>
      <c r="D21" s="470" t="s">
        <v>8036</v>
      </c>
      <c r="E21" s="470" t="s">
        <v>8516</v>
      </c>
      <c r="F21" s="471" t="s">
        <v>7567</v>
      </c>
      <c r="G21" t="s">
        <v>9076</v>
      </c>
      <c r="H21" s="89" t="s">
        <v>6810</v>
      </c>
      <c r="I21" s="89" t="s">
        <v>6139</v>
      </c>
      <c r="J21" s="89" t="s">
        <v>6110</v>
      </c>
      <c r="K21" s="456" t="s">
        <v>6525</v>
      </c>
    </row>
    <row r="22" spans="1:11" ht="57.6" x14ac:dyDescent="0.3">
      <c r="A22" s="422" t="s">
        <v>6104</v>
      </c>
      <c r="B22" s="423" t="str">
        <f t="shared" si="4"/>
        <v>Prepared in accordance with the Voluntary Sustainability Reporting Standard for small and medium-sized undertakings (VSME), released by the European Commission on 30 July 2025.</v>
      </c>
      <c r="C22" s="89" t="s">
        <v>6462</v>
      </c>
      <c r="D22" s="470" t="s">
        <v>8037</v>
      </c>
      <c r="E22" s="470" t="s">
        <v>8517</v>
      </c>
      <c r="F22" s="471" t="s">
        <v>7568</v>
      </c>
      <c r="G22" t="s">
        <v>9077</v>
      </c>
      <c r="H22" s="89" t="s">
        <v>7174</v>
      </c>
      <c r="I22" s="89" t="s">
        <v>7172</v>
      </c>
      <c r="J22" s="89" t="s">
        <v>7533</v>
      </c>
      <c r="K22" s="456" t="s">
        <v>7170</v>
      </c>
    </row>
    <row r="23" spans="1:11" x14ac:dyDescent="0.3">
      <c r="A23" s="422" t="s">
        <v>4471</v>
      </c>
      <c r="B23" s="423" t="str">
        <f t="shared" si="4"/>
        <v>VSME Digital Template</v>
      </c>
      <c r="C23" s="89" t="s">
        <v>3724</v>
      </c>
      <c r="D23" s="470" t="s">
        <v>8038</v>
      </c>
      <c r="E23" s="470" t="s">
        <v>8518</v>
      </c>
      <c r="F23" s="471" t="s">
        <v>7569</v>
      </c>
      <c r="G23" t="s">
        <v>9078</v>
      </c>
      <c r="H23" s="89" t="s">
        <v>6811</v>
      </c>
      <c r="I23" s="89" t="s">
        <v>6140</v>
      </c>
      <c r="J23" s="89" t="s">
        <v>6086</v>
      </c>
      <c r="K23" s="456" t="s">
        <v>6526</v>
      </c>
    </row>
    <row r="24" spans="1:11" ht="16.05" customHeight="1" x14ac:dyDescent="0.3">
      <c r="A24" s="422" t="s">
        <v>4472</v>
      </c>
      <c r="B24" s="423" t="str">
        <f t="shared" si="4"/>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4" s="456" t="s">
        <v>5685</v>
      </c>
      <c r="D24" s="470" t="s">
        <v>8039</v>
      </c>
      <c r="E24" s="470" t="s">
        <v>8519</v>
      </c>
      <c r="F24" s="471" t="s">
        <v>7570</v>
      </c>
      <c r="G24" t="s">
        <v>9079</v>
      </c>
      <c r="H24" s="89" t="s">
        <v>6812</v>
      </c>
      <c r="I24" s="89" t="s">
        <v>6141</v>
      </c>
      <c r="J24" s="89" t="s">
        <v>7277</v>
      </c>
      <c r="K24" s="456" t="s">
        <v>6500</v>
      </c>
    </row>
    <row r="25" spans="1:11" x14ac:dyDescent="0.3">
      <c r="A25" s="422" t="s">
        <v>4473</v>
      </c>
      <c r="B25" s="423" t="str">
        <f t="shared" si="4"/>
        <v>How to use it:</v>
      </c>
      <c r="C25" s="89" t="s">
        <v>2882</v>
      </c>
      <c r="D25" s="470" t="s">
        <v>8040</v>
      </c>
      <c r="E25" s="470" t="s">
        <v>8520</v>
      </c>
      <c r="F25" s="471" t="s">
        <v>7571</v>
      </c>
      <c r="G25" t="s">
        <v>9080</v>
      </c>
      <c r="H25" s="89" t="s">
        <v>6813</v>
      </c>
      <c r="I25" s="89" t="s">
        <v>6142</v>
      </c>
      <c r="J25" s="89" t="s">
        <v>7183</v>
      </c>
      <c r="K25" s="456" t="s">
        <v>6527</v>
      </c>
    </row>
    <row r="26" spans="1:11" ht="28.8" x14ac:dyDescent="0.3">
      <c r="A26" s="422" t="s">
        <v>4474</v>
      </c>
      <c r="B26" s="423" t="str">
        <f t="shared" si="4"/>
        <v>0. Provide information that is mandatory in order to generate the VSME and XBRL Report.</v>
      </c>
      <c r="C26" s="89" t="s">
        <v>3531</v>
      </c>
      <c r="D26" s="470" t="s">
        <v>8041</v>
      </c>
      <c r="E26" s="470" t="s">
        <v>8521</v>
      </c>
      <c r="F26" s="471" t="s">
        <v>7572</v>
      </c>
      <c r="G26" t="s">
        <v>9081</v>
      </c>
      <c r="H26" s="89" t="s">
        <v>6814</v>
      </c>
      <c r="I26" s="89" t="s">
        <v>6143</v>
      </c>
      <c r="J26" s="89" t="s">
        <v>7184</v>
      </c>
      <c r="K26" s="456" t="s">
        <v>6779</v>
      </c>
    </row>
    <row r="27" spans="1:11" ht="129.6" x14ac:dyDescent="0.3">
      <c r="A27" s="422" t="s">
        <v>4475</v>
      </c>
      <c r="B27" s="423" t="str">
        <f t="shared" si="4"/>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7" s="89" t="s">
        <v>4466</v>
      </c>
      <c r="D27" s="470" t="s">
        <v>8042</v>
      </c>
      <c r="E27" s="470" t="s">
        <v>8522</v>
      </c>
      <c r="F27" s="471" t="s">
        <v>7573</v>
      </c>
      <c r="G27" t="s">
        <v>9082</v>
      </c>
      <c r="H27" s="89" t="s">
        <v>6815</v>
      </c>
      <c r="I27" s="89" t="s">
        <v>6144</v>
      </c>
      <c r="J27" s="89" t="s">
        <v>7517</v>
      </c>
      <c r="K27" s="456" t="s">
        <v>6780</v>
      </c>
    </row>
    <row r="28" spans="1:11" ht="86.4" x14ac:dyDescent="0.3">
      <c r="A28" s="422" t="s">
        <v>4491</v>
      </c>
      <c r="B28" s="423" t="str">
        <f t="shared" si="4"/>
        <v>2. Find more information on the actual disclosure requirements in the VSME Standard and the related guidance linked to each cell. Additional or entity-specific disclosures can be provided in each text box at the end of each worksheet.</v>
      </c>
      <c r="C28" s="89" t="s">
        <v>3772</v>
      </c>
      <c r="D28" s="470" t="s">
        <v>8043</v>
      </c>
      <c r="E28" s="470" t="s">
        <v>8523</v>
      </c>
      <c r="F28" s="471" t="s">
        <v>7574</v>
      </c>
      <c r="G28" t="s">
        <v>9083</v>
      </c>
      <c r="H28" s="89" t="s">
        <v>6816</v>
      </c>
      <c r="I28" s="89" t="s">
        <v>6145</v>
      </c>
      <c r="J28" s="89" t="s">
        <v>7518</v>
      </c>
      <c r="K28" s="456" t="s">
        <v>6528</v>
      </c>
    </row>
    <row r="29" spans="1:11" ht="115.2" x14ac:dyDescent="0.3">
      <c r="A29" s="422" t="s">
        <v>4495</v>
      </c>
      <c r="B29" s="423" t="str">
        <f t="shared" si="4"/>
        <v>3. For open tables like the List of subsidiaries/sites, please expand the groups by clicking the plus [+] icon on the left side. If more rows are needed, they can be added by inserting them between the first and last row. The row IDs in open tables must remain unique per table.</v>
      </c>
      <c r="C29" s="89" t="s">
        <v>7543</v>
      </c>
      <c r="D29" s="470" t="s">
        <v>8044</v>
      </c>
      <c r="E29" s="470" t="s">
        <v>8524</v>
      </c>
      <c r="F29" s="471" t="s">
        <v>7575</v>
      </c>
      <c r="G29" t="s">
        <v>9084</v>
      </c>
      <c r="H29" s="89" t="s">
        <v>6817</v>
      </c>
      <c r="I29" s="89" t="s">
        <v>6146</v>
      </c>
      <c r="J29" s="89" t="s">
        <v>7519</v>
      </c>
      <c r="K29" s="456" t="s">
        <v>6781</v>
      </c>
    </row>
    <row r="30" spans="1:11" ht="86.4" x14ac:dyDescent="0.3">
      <c r="A30" s="422" t="s">
        <v>4492</v>
      </c>
      <c r="B30" s="423" t="str">
        <f t="shared" si="4"/>
        <v>4. Validate the data entered by checking the validation status. The report is considered incomplete or erroneous if the validation fails, which might result in an invalid XBRL report.</v>
      </c>
      <c r="C30" s="89" t="s">
        <v>7544</v>
      </c>
      <c r="D30" s="470" t="s">
        <v>8045</v>
      </c>
      <c r="E30" s="470" t="s">
        <v>8525</v>
      </c>
      <c r="F30" s="471" t="s">
        <v>7576</v>
      </c>
      <c r="G30" t="s">
        <v>9085</v>
      </c>
      <c r="H30" s="89" t="s">
        <v>6818</v>
      </c>
      <c r="I30" s="89" t="s">
        <v>6147</v>
      </c>
      <c r="J30" s="89" t="s">
        <v>7185</v>
      </c>
      <c r="K30" s="456" t="s">
        <v>6529</v>
      </c>
    </row>
    <row r="31" spans="1:11" ht="57.6" x14ac:dyDescent="0.3">
      <c r="A31" s="422" t="s">
        <v>4493</v>
      </c>
      <c r="B31" s="423" t="str">
        <f t="shared" si="4"/>
        <v>5. Convert this template to an Inline XBRL report (or XBRL-JSON, XBRL-CSV), using the online converter. Pay attention to the XBRL validation performed by the validator.</v>
      </c>
      <c r="C31" s="89" t="s">
        <v>6463</v>
      </c>
      <c r="D31" s="470" t="s">
        <v>8046</v>
      </c>
      <c r="E31" s="470" t="s">
        <v>8526</v>
      </c>
      <c r="F31" s="471" t="s">
        <v>7577</v>
      </c>
      <c r="G31" t="s">
        <v>9086</v>
      </c>
      <c r="H31" s="89" t="s">
        <v>7175</v>
      </c>
      <c r="I31" s="89" t="s">
        <v>7173</v>
      </c>
      <c r="J31" s="89" t="s">
        <v>7534</v>
      </c>
      <c r="K31" s="456" t="s">
        <v>7171</v>
      </c>
    </row>
    <row r="32" spans="1:11" ht="28.8" x14ac:dyDescent="0.3">
      <c r="A32" s="422" t="s">
        <v>4494</v>
      </c>
      <c r="B32" s="423" t="str">
        <f t="shared" si="4"/>
        <v>6. The undertaking may also upload the report to public repositories or a webpage.</v>
      </c>
      <c r="C32" s="89" t="s">
        <v>3095</v>
      </c>
      <c r="D32" s="470" t="s">
        <v>8047</v>
      </c>
      <c r="E32" s="470" t="s">
        <v>8527</v>
      </c>
      <c r="F32" s="471" t="s">
        <v>7578</v>
      </c>
      <c r="G32" t="s">
        <v>9087</v>
      </c>
      <c r="H32" s="89" t="s">
        <v>6819</v>
      </c>
      <c r="I32" s="89" t="s">
        <v>6148</v>
      </c>
      <c r="J32" s="89" t="s">
        <v>7520</v>
      </c>
      <c r="K32" s="456" t="s">
        <v>6782</v>
      </c>
    </row>
    <row r="33" spans="1:11" ht="28.8" x14ac:dyDescent="0.3">
      <c r="A33" s="422" t="s">
        <v>4476</v>
      </c>
      <c r="B33" s="423" t="str">
        <f t="shared" si="4"/>
        <v>Cell background color index:</v>
      </c>
      <c r="C33" s="89" t="s">
        <v>2887</v>
      </c>
      <c r="D33" s="470" t="s">
        <v>8048</v>
      </c>
      <c r="E33" s="470" t="s">
        <v>8528</v>
      </c>
      <c r="F33" s="471" t="s">
        <v>7579</v>
      </c>
      <c r="G33" t="s">
        <v>9088</v>
      </c>
      <c r="H33" s="89" t="s">
        <v>5990</v>
      </c>
      <c r="I33" s="89" t="s">
        <v>6067</v>
      </c>
      <c r="J33" s="89" t="s">
        <v>7186</v>
      </c>
      <c r="K33" s="456" t="s">
        <v>5704</v>
      </c>
    </row>
    <row r="34" spans="1:11" ht="43.2" x14ac:dyDescent="0.3">
      <c r="A34" s="422" t="s">
        <v>4477</v>
      </c>
      <c r="B34" s="423" t="str">
        <f t="shared" si="4"/>
        <v>General Principles</v>
      </c>
      <c r="C34" s="89" t="s">
        <v>2911</v>
      </c>
      <c r="D34" s="470" t="s">
        <v>8049</v>
      </c>
      <c r="E34" s="470" t="s">
        <v>8529</v>
      </c>
      <c r="F34" s="471" t="s">
        <v>7580</v>
      </c>
      <c r="G34" t="s">
        <v>9089</v>
      </c>
      <c r="H34" s="89" t="s">
        <v>5991</v>
      </c>
      <c r="I34" s="89" t="s">
        <v>5906</v>
      </c>
      <c r="J34" s="89" t="s">
        <v>5825</v>
      </c>
      <c r="K34" s="456" t="s">
        <v>6530</v>
      </c>
    </row>
    <row r="35" spans="1:11" ht="28.8" x14ac:dyDescent="0.3">
      <c r="A35" s="422" t="s">
        <v>4478</v>
      </c>
      <c r="B35" s="423" t="str">
        <f t="shared" si="4"/>
        <v>Indicates that the disclosure is from the general principles of the VSME.</v>
      </c>
      <c r="C35" s="89" t="s">
        <v>2912</v>
      </c>
      <c r="D35" s="470" t="s">
        <v>8050</v>
      </c>
      <c r="E35" s="470" t="s">
        <v>8530</v>
      </c>
      <c r="F35" s="471" t="s">
        <v>7581</v>
      </c>
      <c r="G35" t="s">
        <v>9090</v>
      </c>
      <c r="H35" s="89" t="s">
        <v>6820</v>
      </c>
      <c r="I35" s="89" t="s">
        <v>6149</v>
      </c>
      <c r="J35" s="89" t="s">
        <v>7187</v>
      </c>
      <c r="K35" s="456" t="s">
        <v>6531</v>
      </c>
    </row>
    <row r="36" spans="1:11" x14ac:dyDescent="0.3">
      <c r="A36" s="422" t="s">
        <v>4479</v>
      </c>
      <c r="B36" s="423" t="str">
        <f t="shared" si="4"/>
        <v>Basic Module</v>
      </c>
      <c r="C36" s="89" t="s">
        <v>2884</v>
      </c>
      <c r="D36" s="470" t="s">
        <v>8051</v>
      </c>
      <c r="E36" s="470" t="s">
        <v>8531</v>
      </c>
      <c r="F36" s="471" t="s">
        <v>7582</v>
      </c>
      <c r="G36" t="s">
        <v>9091</v>
      </c>
      <c r="H36" s="89" t="s">
        <v>6821</v>
      </c>
      <c r="I36" s="89" t="s">
        <v>5907</v>
      </c>
      <c r="J36" s="89" t="s">
        <v>7188</v>
      </c>
      <c r="K36" s="456" t="s">
        <v>5705</v>
      </c>
    </row>
    <row r="37" spans="1:11" ht="28.8" x14ac:dyDescent="0.3">
      <c r="A37" s="422" t="s">
        <v>4480</v>
      </c>
      <c r="B37" s="423" t="str">
        <f t="shared" si="4"/>
        <v>Indicates that the disclosure is from the VSME Basic Module.</v>
      </c>
      <c r="C37" s="89" t="s">
        <v>2910</v>
      </c>
      <c r="D37" s="470" t="s">
        <v>8052</v>
      </c>
      <c r="E37" s="470" t="s">
        <v>8532</v>
      </c>
      <c r="F37" s="471" t="s">
        <v>7583</v>
      </c>
      <c r="G37" t="s">
        <v>9092</v>
      </c>
      <c r="H37" s="89" t="s">
        <v>6822</v>
      </c>
      <c r="I37" s="89" t="s">
        <v>5908</v>
      </c>
      <c r="J37" s="89" t="s">
        <v>7189</v>
      </c>
      <c r="K37" s="456" t="s">
        <v>6532</v>
      </c>
    </row>
    <row r="38" spans="1:11" x14ac:dyDescent="0.3">
      <c r="A38" s="422" t="s">
        <v>4481</v>
      </c>
      <c r="B38" s="423" t="str">
        <f t="shared" si="4"/>
        <v>Comprehensive Module</v>
      </c>
      <c r="C38" s="89" t="s">
        <v>2885</v>
      </c>
      <c r="D38" s="470" t="s">
        <v>8053</v>
      </c>
      <c r="E38" s="470" t="s">
        <v>8533</v>
      </c>
      <c r="F38" s="471" t="s">
        <v>7584</v>
      </c>
      <c r="G38" t="s">
        <v>9093</v>
      </c>
      <c r="H38" s="89" t="s">
        <v>6823</v>
      </c>
      <c r="I38" s="89" t="s">
        <v>6150</v>
      </c>
      <c r="J38" s="89" t="s">
        <v>7189</v>
      </c>
      <c r="K38" s="456" t="s">
        <v>5706</v>
      </c>
    </row>
    <row r="39" spans="1:11" ht="28.8" x14ac:dyDescent="0.3">
      <c r="A39" s="422" t="s">
        <v>4482</v>
      </c>
      <c r="B39" s="423" t="str">
        <f t="shared" si="4"/>
        <v>Indicates that the disclosure is from the VSME Comprehensive Module.</v>
      </c>
      <c r="C39" s="89" t="s">
        <v>2909</v>
      </c>
      <c r="D39" s="470" t="s">
        <v>8054</v>
      </c>
      <c r="E39" s="470" t="s">
        <v>8534</v>
      </c>
      <c r="F39" s="471" t="s">
        <v>7585</v>
      </c>
      <c r="G39" t="s">
        <v>9094</v>
      </c>
      <c r="H39" s="89" t="s">
        <v>6824</v>
      </c>
      <c r="I39" s="89" t="s">
        <v>6151</v>
      </c>
      <c r="J39" s="89" t="s">
        <v>7189</v>
      </c>
      <c r="K39" s="456" t="s">
        <v>6533</v>
      </c>
    </row>
    <row r="40" spans="1:11" ht="57.6" x14ac:dyDescent="0.3">
      <c r="A40" s="422" t="s">
        <v>4483</v>
      </c>
      <c r="B40" s="423" t="str">
        <f t="shared" si="4"/>
        <v>Indicates that the cell is automatically calculated and that no data entry is required.</v>
      </c>
      <c r="C40" s="89" t="s">
        <v>3773</v>
      </c>
      <c r="D40" s="470" t="s">
        <v>8055</v>
      </c>
      <c r="E40" s="470" t="s">
        <v>8534</v>
      </c>
      <c r="F40" s="471" t="s">
        <v>7586</v>
      </c>
      <c r="G40" t="s">
        <v>9095</v>
      </c>
      <c r="H40" s="89" t="s">
        <v>6825</v>
      </c>
      <c r="I40" s="89" t="s">
        <v>6152</v>
      </c>
      <c r="J40" s="89" t="s">
        <v>7190</v>
      </c>
      <c r="K40" s="456" t="s">
        <v>6534</v>
      </c>
    </row>
    <row r="41" spans="1:11" ht="144" x14ac:dyDescent="0.3">
      <c r="A41" s="422" t="s">
        <v>4496</v>
      </c>
      <c r="B41" s="423" t="str">
        <f t="shared" si="4"/>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1" s="89" t="s">
        <v>3559</v>
      </c>
      <c r="D41" s="470" t="s">
        <v>8056</v>
      </c>
      <c r="E41" s="470" t="s">
        <v>8535</v>
      </c>
      <c r="F41" s="471" t="s">
        <v>7587</v>
      </c>
      <c r="G41" t="s">
        <v>9096</v>
      </c>
      <c r="H41" s="89" t="s">
        <v>6826</v>
      </c>
      <c r="I41" s="89" t="s">
        <v>6153</v>
      </c>
      <c r="J41" s="89" t="s">
        <v>7191</v>
      </c>
      <c r="K41" s="456" t="s">
        <v>6535</v>
      </c>
    </row>
    <row r="42" spans="1:11" ht="57.6" x14ac:dyDescent="0.3">
      <c r="A42" s="422" t="s">
        <v>4484</v>
      </c>
      <c r="B42" s="423" t="str">
        <f t="shared" si="4"/>
        <v>Indicates that no data entry is required unless certain logics are selected in the disclosure itself. When one of these logics is selected, then this cell will turn white.</v>
      </c>
      <c r="C42" s="89" t="s">
        <v>3066</v>
      </c>
      <c r="D42" s="470" t="s">
        <v>8057</v>
      </c>
      <c r="E42" s="470" t="s">
        <v>8536</v>
      </c>
      <c r="F42" s="471" t="s">
        <v>7588</v>
      </c>
      <c r="G42" t="s">
        <v>9097</v>
      </c>
      <c r="H42" s="89" t="s">
        <v>6827</v>
      </c>
      <c r="I42" s="89" t="s">
        <v>6154</v>
      </c>
      <c r="J42" s="89" t="s">
        <v>7192</v>
      </c>
      <c r="K42" s="456" t="s">
        <v>6536</v>
      </c>
    </row>
    <row r="43" spans="1:11" ht="43.2" x14ac:dyDescent="0.3">
      <c r="A43" s="422" t="s">
        <v>4497</v>
      </c>
      <c r="B43" s="423" t="str">
        <f t="shared" si="4"/>
        <v>Validation MISSING VALUE/ERROR/VALUE INCONSISTENCY/INVALID URL</v>
      </c>
      <c r="C43" s="423" t="s">
        <v>3774</v>
      </c>
      <c r="D43" s="470" t="s">
        <v>8058</v>
      </c>
      <c r="E43" s="470" t="s">
        <v>8537</v>
      </c>
      <c r="F43" s="471" t="s">
        <v>7589</v>
      </c>
      <c r="G43" t="s">
        <v>9098</v>
      </c>
      <c r="H43" s="89" t="s">
        <v>6828</v>
      </c>
      <c r="I43" s="89" t="s">
        <v>6155</v>
      </c>
      <c r="J43" s="89" t="s">
        <v>7193</v>
      </c>
      <c r="K43" s="456" t="s">
        <v>6476</v>
      </c>
    </row>
    <row r="44" spans="1:11" ht="43.2" x14ac:dyDescent="0.3">
      <c r="A44" s="422" t="s">
        <v>4485</v>
      </c>
      <c r="B44" s="423" t="str">
        <f t="shared" si="4"/>
        <v>Indicates that either data entry is incorrect in terms of format or that certain information is missing in order to correctly report on the disclosure.</v>
      </c>
      <c r="C44" s="89" t="s">
        <v>3015</v>
      </c>
      <c r="D44" s="470" t="s">
        <v>8059</v>
      </c>
      <c r="E44" s="470" t="s">
        <v>8538</v>
      </c>
      <c r="F44" s="471" t="s">
        <v>7590</v>
      </c>
      <c r="G44" t="s">
        <v>9099</v>
      </c>
      <c r="H44" s="89" t="s">
        <v>6829</v>
      </c>
      <c r="I44" s="89" t="s">
        <v>6156</v>
      </c>
      <c r="J44" s="89" t="s">
        <v>7194</v>
      </c>
      <c r="K44" s="456" t="s">
        <v>6537</v>
      </c>
    </row>
    <row r="45" spans="1:11" x14ac:dyDescent="0.3">
      <c r="A45" s="422" t="s">
        <v>4498</v>
      </c>
      <c r="B45" s="423" t="str">
        <f t="shared" si="4"/>
        <v>Validation OK</v>
      </c>
      <c r="C45" s="89" t="s">
        <v>2886</v>
      </c>
      <c r="D45" s="470" t="s">
        <v>8060</v>
      </c>
      <c r="E45" s="470" t="s">
        <v>2886</v>
      </c>
      <c r="F45" s="471" t="s">
        <v>7591</v>
      </c>
      <c r="G45" t="s">
        <v>9100</v>
      </c>
      <c r="H45" s="89" t="s">
        <v>9532</v>
      </c>
      <c r="I45" s="89" t="s">
        <v>5909</v>
      </c>
      <c r="J45" s="89" t="s">
        <v>5826</v>
      </c>
      <c r="K45" s="456" t="s">
        <v>6477</v>
      </c>
    </row>
    <row r="46" spans="1:11" ht="28.8" x14ac:dyDescent="0.3">
      <c r="A46" s="422" t="s">
        <v>4486</v>
      </c>
      <c r="B46" s="423" t="str">
        <f t="shared" si="4"/>
        <v>Indicates that data entry is OK and the undertaking can proceed to the next disclosure.</v>
      </c>
      <c r="C46" s="89" t="s">
        <v>2913</v>
      </c>
      <c r="D46" s="470" t="s">
        <v>8061</v>
      </c>
      <c r="E46" s="470" t="s">
        <v>8539</v>
      </c>
      <c r="F46" s="471" t="s">
        <v>7592</v>
      </c>
      <c r="G46" t="s">
        <v>9101</v>
      </c>
      <c r="H46" s="89" t="s">
        <v>6830</v>
      </c>
      <c r="I46" s="89" t="s">
        <v>6157</v>
      </c>
      <c r="J46" s="89" t="s">
        <v>7195</v>
      </c>
      <c r="K46" s="456" t="s">
        <v>5707</v>
      </c>
    </row>
    <row r="47" spans="1:11" x14ac:dyDescent="0.3">
      <c r="A47" s="422" t="s">
        <v>4487</v>
      </c>
      <c r="B47" s="423" t="str">
        <f t="shared" si="4"/>
        <v>No value can be entered in the cell.</v>
      </c>
      <c r="C47" s="89" t="s">
        <v>3063</v>
      </c>
      <c r="D47" s="470" t="s">
        <v>8062</v>
      </c>
      <c r="E47" s="470" t="s">
        <v>8540</v>
      </c>
      <c r="F47" s="471" t="s">
        <v>7593</v>
      </c>
      <c r="G47" t="s">
        <v>9102</v>
      </c>
      <c r="H47" s="89" t="s">
        <v>6050</v>
      </c>
      <c r="I47" s="89" t="s">
        <v>5910</v>
      </c>
      <c r="J47" s="89" t="s">
        <v>5827</v>
      </c>
      <c r="K47" s="456" t="s">
        <v>5708</v>
      </c>
    </row>
    <row r="48" spans="1:11" ht="72" x14ac:dyDescent="0.3">
      <c r="A48" s="422" t="s">
        <v>4488</v>
      </c>
      <c r="B48" s="423" t="str">
        <f t="shared" si="4"/>
        <v>Lists can be expanded using the plus [+] button on the left. If the number of rows is not sufficient, additional rows can be added by right clicking the second row and selecting "Insert row".</v>
      </c>
      <c r="C48" s="89" t="s">
        <v>3016</v>
      </c>
      <c r="D48" s="470" t="s">
        <v>8063</v>
      </c>
      <c r="E48" s="470" t="s">
        <v>8541</v>
      </c>
      <c r="F48" s="471" t="s">
        <v>7594</v>
      </c>
      <c r="G48" t="s">
        <v>9103</v>
      </c>
      <c r="H48" s="89" t="s">
        <v>6831</v>
      </c>
      <c r="I48" s="89" t="s">
        <v>6158</v>
      </c>
      <c r="J48" s="89" t="s">
        <v>7196</v>
      </c>
      <c r="K48" s="456" t="s">
        <v>6538</v>
      </c>
    </row>
    <row r="49" spans="1:11" ht="201.6" x14ac:dyDescent="0.3">
      <c r="A49" s="422" t="s">
        <v>4489</v>
      </c>
      <c r="B49" s="423" t="str">
        <f t="shared" si="4"/>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9" s="89" t="s">
        <v>2923</v>
      </c>
      <c r="D49" s="470" t="s">
        <v>8064</v>
      </c>
      <c r="E49" s="470" t="s">
        <v>8542</v>
      </c>
      <c r="F49" s="471" t="s">
        <v>7595</v>
      </c>
      <c r="G49" t="s">
        <v>9104</v>
      </c>
      <c r="H49" s="89" t="s">
        <v>6832</v>
      </c>
      <c r="I49" s="89" t="s">
        <v>6159</v>
      </c>
      <c r="J49" s="89" t="s">
        <v>7197</v>
      </c>
      <c r="K49" s="456" t="s">
        <v>6539</v>
      </c>
    </row>
    <row r="50" spans="1:11" s="12" customFormat="1" ht="72.599999999999994" thickBot="1" x14ac:dyDescent="0.35">
      <c r="A50" s="434" t="s">
        <v>4490</v>
      </c>
      <c r="B50" s="457" t="str">
        <f t="shared" si="4"/>
        <v>Reproduction and use rights are strictly limited. For further details please contact efragsecretariat@efrag.org</v>
      </c>
      <c r="C50" s="424" t="s">
        <v>2922</v>
      </c>
      <c r="D50" s="478" t="s">
        <v>8065</v>
      </c>
      <c r="E50" s="478" t="s">
        <v>8543</v>
      </c>
      <c r="F50" s="472" t="s">
        <v>7596</v>
      </c>
      <c r="G50" s="12" t="s">
        <v>9105</v>
      </c>
      <c r="H50" s="424" t="s">
        <v>6833</v>
      </c>
      <c r="I50" s="424" t="s">
        <v>6160</v>
      </c>
      <c r="J50" s="424" t="s">
        <v>7198</v>
      </c>
      <c r="K50" s="476" t="s">
        <v>6540</v>
      </c>
    </row>
    <row r="51" spans="1:11" ht="43.2" x14ac:dyDescent="0.3">
      <c r="A51" s="422" t="s">
        <v>4404</v>
      </c>
      <c r="B51" s="423" t="str">
        <f t="shared" si="4"/>
        <v>Overall Validation Status</v>
      </c>
      <c r="C51" s="422" t="s">
        <v>3661</v>
      </c>
      <c r="D51" s="470" t="s">
        <v>8066</v>
      </c>
      <c r="E51" s="470" t="s">
        <v>8544</v>
      </c>
      <c r="F51" s="471" t="s">
        <v>7597</v>
      </c>
      <c r="G51" t="s">
        <v>9106</v>
      </c>
      <c r="H51" s="89" t="s">
        <v>6834</v>
      </c>
      <c r="I51" s="89" t="s">
        <v>6161</v>
      </c>
      <c r="J51" s="89" t="s">
        <v>7199</v>
      </c>
      <c r="K51" s="456" t="s">
        <v>6541</v>
      </c>
    </row>
    <row r="52" spans="1:11" x14ac:dyDescent="0.3">
      <c r="A52" s="422" t="s">
        <v>4405</v>
      </c>
      <c r="B52" s="423" t="str">
        <f t="shared" si="4"/>
        <v>Table of Contents</v>
      </c>
      <c r="C52" s="422" t="s">
        <v>3662</v>
      </c>
      <c r="D52" s="470" t="s">
        <v>8067</v>
      </c>
      <c r="E52" s="470" t="s">
        <v>8507</v>
      </c>
      <c r="F52" s="471" t="s">
        <v>7559</v>
      </c>
      <c r="G52" t="s">
        <v>9068</v>
      </c>
      <c r="H52" s="89" t="s">
        <v>5988</v>
      </c>
      <c r="I52" s="89" t="s">
        <v>5903</v>
      </c>
      <c r="J52" s="89" t="s">
        <v>5822</v>
      </c>
      <c r="K52" s="456" t="s">
        <v>5822</v>
      </c>
    </row>
    <row r="53" spans="1:11" ht="28.8" x14ac:dyDescent="0.3">
      <c r="A53" s="422" t="s">
        <v>4406</v>
      </c>
      <c r="B53" s="423" t="str">
        <f t="shared" si="4"/>
        <v>Contents grouping follows template's framework</v>
      </c>
      <c r="C53" s="422" t="s">
        <v>3663</v>
      </c>
      <c r="D53" s="470" t="s">
        <v>8068</v>
      </c>
      <c r="E53" s="470" t="s">
        <v>8545</v>
      </c>
      <c r="F53" s="471" t="s">
        <v>7598</v>
      </c>
      <c r="G53" t="s">
        <v>9107</v>
      </c>
      <c r="H53" s="89" t="s">
        <v>6835</v>
      </c>
      <c r="I53" s="89" t="s">
        <v>6162</v>
      </c>
      <c r="J53" s="89" t="s">
        <v>7200</v>
      </c>
      <c r="K53" s="456" t="s">
        <v>6542</v>
      </c>
    </row>
    <row r="54" spans="1:11" x14ac:dyDescent="0.3">
      <c r="A54" s="422" t="s">
        <v>4407</v>
      </c>
      <c r="B54" s="423" t="str">
        <f t="shared" si="4"/>
        <v>Specific Content Validation Status</v>
      </c>
      <c r="C54" s="422" t="s">
        <v>3664</v>
      </c>
      <c r="D54" s="470" t="s">
        <v>8069</v>
      </c>
      <c r="E54" s="470" t="s">
        <v>8546</v>
      </c>
      <c r="F54" s="471" t="s">
        <v>7599</v>
      </c>
      <c r="G54" t="s">
        <v>9108</v>
      </c>
      <c r="H54" s="89" t="s">
        <v>5992</v>
      </c>
      <c r="I54" s="89" t="s">
        <v>6163</v>
      </c>
      <c r="J54" s="89" t="s">
        <v>7201</v>
      </c>
      <c r="K54" s="456" t="s">
        <v>6543</v>
      </c>
    </row>
    <row r="55" spans="1:11" ht="28.8" x14ac:dyDescent="0.3">
      <c r="A55" s="422" t="s">
        <v>4408</v>
      </c>
      <c r="B55" s="423" t="str">
        <f t="shared" si="4"/>
        <v>General Information</v>
      </c>
      <c r="C55" s="422" t="s">
        <v>3665</v>
      </c>
      <c r="D55" s="470" t="s">
        <v>8070</v>
      </c>
      <c r="E55" s="470" t="s">
        <v>8547</v>
      </c>
      <c r="F55" s="471" t="s">
        <v>7600</v>
      </c>
      <c r="G55" t="s">
        <v>9109</v>
      </c>
      <c r="H55" s="89" t="s">
        <v>6836</v>
      </c>
      <c r="I55" s="89" t="s">
        <v>5911</v>
      </c>
      <c r="J55" s="89" t="s">
        <v>7202</v>
      </c>
      <c r="K55" s="456" t="s">
        <v>5709</v>
      </c>
    </row>
    <row r="56" spans="1:11" ht="28.8" x14ac:dyDescent="0.3">
      <c r="A56" s="422" t="s">
        <v>4403</v>
      </c>
      <c r="B56" s="423" t="str">
        <f t="shared" si="4"/>
        <v>· Information on the report necessary for  XBRL</v>
      </c>
      <c r="C56" s="422" t="s">
        <v>3685</v>
      </c>
      <c r="D56" s="470" t="s">
        <v>8071</v>
      </c>
      <c r="E56" s="470" t="s">
        <v>8548</v>
      </c>
      <c r="F56" s="471" t="s">
        <v>7601</v>
      </c>
      <c r="G56" t="s">
        <v>9110</v>
      </c>
      <c r="H56" s="89" t="s">
        <v>6837</v>
      </c>
      <c r="I56" s="89" t="s">
        <v>9002</v>
      </c>
      <c r="J56" s="89" t="s">
        <v>7527</v>
      </c>
      <c r="K56" s="456" t="s">
        <v>6544</v>
      </c>
    </row>
    <row r="57" spans="1:11" x14ac:dyDescent="0.3">
      <c r="A57" s="422" t="s">
        <v>4409</v>
      </c>
      <c r="B57" s="423" t="str">
        <f t="shared" si="4"/>
        <v>· Information on previous reporting period</v>
      </c>
      <c r="C57" s="422" t="s">
        <v>3686</v>
      </c>
      <c r="D57" s="470" t="s">
        <v>8072</v>
      </c>
      <c r="E57" s="470" t="s">
        <v>8549</v>
      </c>
      <c r="F57" s="471" t="s">
        <v>7602</v>
      </c>
      <c r="G57" t="s">
        <v>9111</v>
      </c>
      <c r="H57" s="89" t="s">
        <v>5993</v>
      </c>
      <c r="I57" s="89" t="s">
        <v>9003</v>
      </c>
      <c r="J57" s="89" t="s">
        <v>7204</v>
      </c>
      <c r="K57" s="456" t="s">
        <v>9041</v>
      </c>
    </row>
    <row r="58" spans="1:11" x14ac:dyDescent="0.3">
      <c r="A58" s="422" t="s">
        <v>4410</v>
      </c>
      <c r="B58" s="423" t="str">
        <f t="shared" si="4"/>
        <v>Basic Module</v>
      </c>
      <c r="C58" s="422" t="s">
        <v>2884</v>
      </c>
      <c r="D58" s="470" t="s">
        <v>7582</v>
      </c>
      <c r="E58" s="470" t="s">
        <v>8550</v>
      </c>
      <c r="F58" s="471" t="s">
        <v>7582</v>
      </c>
      <c r="G58" t="s">
        <v>9091</v>
      </c>
      <c r="H58" s="89" t="s">
        <v>6821</v>
      </c>
      <c r="I58" s="89" t="s">
        <v>5907</v>
      </c>
      <c r="J58" s="89" t="s">
        <v>7188</v>
      </c>
      <c r="K58" s="456" t="s">
        <v>5705</v>
      </c>
    </row>
    <row r="59" spans="1:11" x14ac:dyDescent="0.3">
      <c r="A59" s="422" t="s">
        <v>4411</v>
      </c>
      <c r="B59" s="423" t="str">
        <f t="shared" si="4"/>
        <v>· B1 - Basis for Preparation</v>
      </c>
      <c r="C59" s="422" t="s">
        <v>3687</v>
      </c>
      <c r="D59" s="470" t="s">
        <v>8073</v>
      </c>
      <c r="E59" s="470" t="s">
        <v>8949</v>
      </c>
      <c r="F59" s="471" t="s">
        <v>7603</v>
      </c>
      <c r="G59" t="s">
        <v>9112</v>
      </c>
      <c r="H59" s="89" t="s">
        <v>8979</v>
      </c>
      <c r="I59" s="89" t="s">
        <v>9004</v>
      </c>
      <c r="J59" s="89" t="s">
        <v>7521</v>
      </c>
      <c r="K59" s="456" t="s">
        <v>9042</v>
      </c>
    </row>
    <row r="60" spans="1:11" ht="28.8" x14ac:dyDescent="0.3">
      <c r="A60" s="422" t="s">
        <v>4412</v>
      </c>
      <c r="B60" s="423" t="str">
        <f t="shared" si="4"/>
        <v>Basis for Preparation and other undertaking's general information</v>
      </c>
      <c r="C60" s="422" t="s">
        <v>4378</v>
      </c>
      <c r="D60" s="470" t="s">
        <v>8074</v>
      </c>
      <c r="E60" s="470" t="s">
        <v>8551</v>
      </c>
      <c r="F60" s="471" t="s">
        <v>7604</v>
      </c>
      <c r="G60" t="s">
        <v>9113</v>
      </c>
      <c r="H60" s="89" t="s">
        <v>6838</v>
      </c>
      <c r="I60" s="89" t="s">
        <v>6164</v>
      </c>
      <c r="J60" s="89" t="s">
        <v>7205</v>
      </c>
      <c r="K60" s="456" t="s">
        <v>6546</v>
      </c>
    </row>
    <row r="61" spans="1:11" x14ac:dyDescent="0.3">
      <c r="A61" s="422" t="s">
        <v>4413</v>
      </c>
      <c r="B61" s="423" t="str">
        <f t="shared" si="4"/>
        <v>List of subsidiaries</v>
      </c>
      <c r="C61" s="422" t="s">
        <v>4379</v>
      </c>
      <c r="D61" s="470" t="s">
        <v>8075</v>
      </c>
      <c r="E61" s="470" t="s">
        <v>8552</v>
      </c>
      <c r="F61" s="471" t="s">
        <v>7605</v>
      </c>
      <c r="G61" t="s">
        <v>9114</v>
      </c>
      <c r="H61" s="89" t="s">
        <v>6839</v>
      </c>
      <c r="I61" s="89" t="s">
        <v>6165</v>
      </c>
      <c r="J61" s="89" t="s">
        <v>7206</v>
      </c>
      <c r="K61" s="456" t="s">
        <v>6547</v>
      </c>
    </row>
    <row r="62" spans="1:11" ht="28.8" x14ac:dyDescent="0.3">
      <c r="A62" s="422" t="s">
        <v>4414</v>
      </c>
      <c r="B62" s="423" t="str">
        <f t="shared" si="4"/>
        <v>Disclosure of sustainability-related certification(s) or label(s)</v>
      </c>
      <c r="C62" s="422" t="s">
        <v>4380</v>
      </c>
      <c r="D62" s="470" t="s">
        <v>8076</v>
      </c>
      <c r="E62" s="470" t="s">
        <v>8553</v>
      </c>
      <c r="F62" s="471" t="s">
        <v>7606</v>
      </c>
      <c r="G62" t="s">
        <v>9115</v>
      </c>
      <c r="H62" s="89" t="s">
        <v>6840</v>
      </c>
      <c r="I62" s="89" t="s">
        <v>6166</v>
      </c>
      <c r="J62" s="89" t="s">
        <v>7207</v>
      </c>
      <c r="K62" s="456" t="s">
        <v>6548</v>
      </c>
    </row>
    <row r="63" spans="1:11" x14ac:dyDescent="0.3">
      <c r="A63" s="422" t="s">
        <v>4415</v>
      </c>
      <c r="B63" s="423" t="str">
        <f t="shared" si="4"/>
        <v>List of site(s)</v>
      </c>
      <c r="C63" s="422" t="s">
        <v>4381</v>
      </c>
      <c r="D63" s="470" t="s">
        <v>8077</v>
      </c>
      <c r="E63" s="470" t="s">
        <v>8554</v>
      </c>
      <c r="F63" s="471" t="s">
        <v>7607</v>
      </c>
      <c r="G63" t="s">
        <v>9116</v>
      </c>
      <c r="H63" s="89" t="s">
        <v>6841</v>
      </c>
      <c r="I63" s="89" t="s">
        <v>6167</v>
      </c>
      <c r="J63" s="89" t="s">
        <v>7208</v>
      </c>
      <c r="K63" s="456" t="s">
        <v>6549</v>
      </c>
    </row>
    <row r="64" spans="1:11" ht="28.8" x14ac:dyDescent="0.3">
      <c r="A64" s="422" t="s">
        <v>4416</v>
      </c>
      <c r="B64" s="423" t="str">
        <f t="shared" si="4"/>
        <v>· B2 - Practices, policies and future initiatives for transitioning towards a more sustainable economy</v>
      </c>
      <c r="C64" s="422" t="s">
        <v>3675</v>
      </c>
      <c r="D64" s="470" t="s">
        <v>8078</v>
      </c>
      <c r="E64" s="470" t="s">
        <v>8950</v>
      </c>
      <c r="F64" s="471" t="s">
        <v>7608</v>
      </c>
      <c r="G64" t="s">
        <v>9117</v>
      </c>
      <c r="H64" s="89" t="s">
        <v>8980</v>
      </c>
      <c r="I64" s="89" t="s">
        <v>9005</v>
      </c>
      <c r="J64" s="89" t="s">
        <v>7522</v>
      </c>
      <c r="K64" s="456" t="s">
        <v>9043</v>
      </c>
    </row>
    <row r="65" spans="1:11" ht="28.8" x14ac:dyDescent="0.3">
      <c r="A65" s="422" t="s">
        <v>4417</v>
      </c>
      <c r="B65" s="423" t="str">
        <f t="shared" si="4"/>
        <v>Practices, policies and future initiatives for transitioning towards a more sustainable economy</v>
      </c>
      <c r="C65" s="422" t="s">
        <v>4382</v>
      </c>
      <c r="D65" s="470" t="s">
        <v>8079</v>
      </c>
      <c r="E65" s="470" t="s">
        <v>8556</v>
      </c>
      <c r="F65" s="471" t="s">
        <v>7609</v>
      </c>
      <c r="G65" t="s">
        <v>9118</v>
      </c>
      <c r="H65" s="89" t="s">
        <v>6842</v>
      </c>
      <c r="I65" s="89" t="s">
        <v>6068</v>
      </c>
      <c r="J65" s="89" t="s">
        <v>5828</v>
      </c>
      <c r="K65" s="456" t="s">
        <v>5710</v>
      </c>
    </row>
    <row r="66" spans="1:11" x14ac:dyDescent="0.3">
      <c r="A66" s="422" t="s">
        <v>4418</v>
      </c>
      <c r="B66" s="423" t="str">
        <f t="shared" si="4"/>
        <v>Cooperative specific disclosures</v>
      </c>
      <c r="C66" s="422" t="s">
        <v>4383</v>
      </c>
      <c r="D66" s="470" t="s">
        <v>8080</v>
      </c>
      <c r="E66" s="470" t="s">
        <v>8557</v>
      </c>
      <c r="F66" s="471" t="s">
        <v>7610</v>
      </c>
      <c r="G66" t="s">
        <v>9119</v>
      </c>
      <c r="H66" s="89" t="s">
        <v>6843</v>
      </c>
      <c r="I66" s="89" t="s">
        <v>6168</v>
      </c>
      <c r="J66" s="89" t="s">
        <v>7210</v>
      </c>
      <c r="K66" s="456" t="s">
        <v>6550</v>
      </c>
    </row>
    <row r="67" spans="1:11" x14ac:dyDescent="0.3">
      <c r="A67" s="422" t="s">
        <v>4419</v>
      </c>
      <c r="B67" s="423" t="str">
        <f t="shared" si="4"/>
        <v>Environmental Disclosures</v>
      </c>
      <c r="C67" s="422" t="s">
        <v>3666</v>
      </c>
      <c r="D67" s="470" t="s">
        <v>8081</v>
      </c>
      <c r="E67" s="470" t="s">
        <v>8558</v>
      </c>
      <c r="F67" s="471" t="s">
        <v>7611</v>
      </c>
      <c r="G67" t="s">
        <v>9120</v>
      </c>
      <c r="H67" s="89" t="s">
        <v>6844</v>
      </c>
      <c r="I67" s="89" t="s">
        <v>6169</v>
      </c>
      <c r="J67" s="89" t="s">
        <v>5829</v>
      </c>
      <c r="K67" s="456" t="s">
        <v>6551</v>
      </c>
    </row>
    <row r="68" spans="1:11" x14ac:dyDescent="0.3">
      <c r="A68" s="422" t="s">
        <v>4420</v>
      </c>
      <c r="B68" s="423" t="str">
        <f t="shared" ref="B68:B131" si="5">INDEX(C68:K68,MATCH(template_selected_display_language,$C$3:$K$3,0))</f>
        <v>· B3 - Energy and greenhouse gas emissions</v>
      </c>
      <c r="C68" s="422" t="s">
        <v>3691</v>
      </c>
      <c r="D68" s="470" t="s">
        <v>8082</v>
      </c>
      <c r="E68" s="470" t="s">
        <v>8951</v>
      </c>
      <c r="F68" s="471" t="s">
        <v>7612</v>
      </c>
      <c r="G68" t="s">
        <v>9121</v>
      </c>
      <c r="H68" s="89" t="s">
        <v>6845</v>
      </c>
      <c r="I68" s="89" t="s">
        <v>9006</v>
      </c>
      <c r="J68" s="89" t="s">
        <v>7523</v>
      </c>
      <c r="K68" s="456" t="s">
        <v>9044</v>
      </c>
    </row>
    <row r="69" spans="1:11" x14ac:dyDescent="0.3">
      <c r="A69" s="422" t="s">
        <v>4421</v>
      </c>
      <c r="B69" s="423" t="str">
        <f t="shared" si="5"/>
        <v>Total Energy Consumption (in MWh)</v>
      </c>
      <c r="C69" s="422" t="s">
        <v>4384</v>
      </c>
      <c r="D69" s="470" t="s">
        <v>8083</v>
      </c>
      <c r="E69" s="470" t="s">
        <v>8559</v>
      </c>
      <c r="F69" s="471" t="s">
        <v>7613</v>
      </c>
      <c r="G69" t="s">
        <v>9122</v>
      </c>
      <c r="H69" s="89" t="s">
        <v>6051</v>
      </c>
      <c r="I69" s="89" t="s">
        <v>5912</v>
      </c>
      <c r="J69" s="89" t="s">
        <v>7211</v>
      </c>
      <c r="K69" s="456" t="s">
        <v>5711</v>
      </c>
    </row>
    <row r="70" spans="1:11" x14ac:dyDescent="0.3">
      <c r="A70" s="422" t="s">
        <v>4422</v>
      </c>
      <c r="B70" s="423" t="str">
        <f t="shared" si="5"/>
        <v>Breakdown of energy consumption (in MWh)</v>
      </c>
      <c r="C70" s="422" t="s">
        <v>4385</v>
      </c>
      <c r="D70" s="470" t="s">
        <v>8084</v>
      </c>
      <c r="E70" s="470" t="s">
        <v>8560</v>
      </c>
      <c r="F70" s="471" t="s">
        <v>7614</v>
      </c>
      <c r="G70" t="s">
        <v>9123</v>
      </c>
      <c r="H70" s="89" t="s">
        <v>6846</v>
      </c>
      <c r="I70" s="89" t="s">
        <v>5913</v>
      </c>
      <c r="J70" s="89" t="s">
        <v>7212</v>
      </c>
      <c r="K70" s="456" t="s">
        <v>5712</v>
      </c>
    </row>
    <row r="71" spans="1:11" ht="43.2" x14ac:dyDescent="0.3">
      <c r="A71" s="422" t="s">
        <v>4423</v>
      </c>
      <c r="B71" s="423" t="str">
        <f t="shared" si="5"/>
        <v>Estimated Greenhouse Gas Emissions considering the GHG Protocol Version 2004 (in tCO2e)</v>
      </c>
      <c r="C71" s="422" t="s">
        <v>4386</v>
      </c>
      <c r="D71" s="470" t="s">
        <v>8085</v>
      </c>
      <c r="E71" s="470" t="s">
        <v>8561</v>
      </c>
      <c r="F71" s="471" t="s">
        <v>7615</v>
      </c>
      <c r="G71" t="s">
        <v>9124</v>
      </c>
      <c r="H71" s="89" t="s">
        <v>6847</v>
      </c>
      <c r="I71" s="89" t="s">
        <v>6170</v>
      </c>
      <c r="J71" s="89" t="s">
        <v>7213</v>
      </c>
      <c r="K71" s="456" t="s">
        <v>6552</v>
      </c>
    </row>
    <row r="72" spans="1:11" ht="28.8" x14ac:dyDescent="0.3">
      <c r="A72" s="422" t="s">
        <v>4424</v>
      </c>
      <c r="B72" s="423" t="str">
        <f t="shared" si="5"/>
        <v>Greenhouse gas emission intensity per turnover</v>
      </c>
      <c r="C72" s="422" t="s">
        <v>4387</v>
      </c>
      <c r="D72" s="470" t="s">
        <v>8086</v>
      </c>
      <c r="E72" s="470" t="s">
        <v>8562</v>
      </c>
      <c r="F72" s="471" t="s">
        <v>7616</v>
      </c>
      <c r="G72" t="s">
        <v>9125</v>
      </c>
      <c r="H72" s="89" t="s">
        <v>6848</v>
      </c>
      <c r="I72" s="89" t="s">
        <v>6171</v>
      </c>
      <c r="J72" s="89" t="s">
        <v>5830</v>
      </c>
      <c r="K72" s="456" t="s">
        <v>6553</v>
      </c>
    </row>
    <row r="73" spans="1:11" x14ac:dyDescent="0.3">
      <c r="A73" s="422" t="s">
        <v>4425</v>
      </c>
      <c r="B73" s="423" t="str">
        <f t="shared" si="5"/>
        <v>· B4 - Pollution of air, water and soil</v>
      </c>
      <c r="C73" s="422" t="s">
        <v>3692</v>
      </c>
      <c r="D73" s="470" t="s">
        <v>8087</v>
      </c>
      <c r="E73" s="470" t="s">
        <v>8952</v>
      </c>
      <c r="F73" s="471" t="s">
        <v>7617</v>
      </c>
      <c r="G73" t="s">
        <v>9126</v>
      </c>
      <c r="H73" s="89" t="s">
        <v>8981</v>
      </c>
      <c r="I73" s="89" t="s">
        <v>9007</v>
      </c>
      <c r="J73" s="89" t="s">
        <v>7524</v>
      </c>
      <c r="K73" s="456" t="s">
        <v>9045</v>
      </c>
    </row>
    <row r="74" spans="1:11" ht="43.2" x14ac:dyDescent="0.3">
      <c r="A74" s="422" t="s">
        <v>4426</v>
      </c>
      <c r="B74" s="423" t="str">
        <f t="shared" si="5"/>
        <v>· B5 - Biodiversity</v>
      </c>
      <c r="C74" s="422" t="s">
        <v>3669</v>
      </c>
      <c r="D74" s="470" t="s">
        <v>8088</v>
      </c>
      <c r="E74" s="470" t="s">
        <v>8953</v>
      </c>
      <c r="F74" s="471" t="s">
        <v>7618</v>
      </c>
      <c r="G74" t="s">
        <v>9127</v>
      </c>
      <c r="H74" s="456" t="s">
        <v>8982</v>
      </c>
      <c r="I74" s="89" t="s">
        <v>9008</v>
      </c>
      <c r="J74" s="89" t="s">
        <v>7525</v>
      </c>
      <c r="K74" s="456" t="s">
        <v>9046</v>
      </c>
    </row>
    <row r="75" spans="1:11" ht="28.8" x14ac:dyDescent="0.3">
      <c r="A75" s="422" t="s">
        <v>4427</v>
      </c>
      <c r="B75" s="423" t="str">
        <f t="shared" si="5"/>
        <v>Sites in biodiversity sensitive areas</v>
      </c>
      <c r="C75" s="422" t="s">
        <v>4388</v>
      </c>
      <c r="D75" s="470" t="s">
        <v>8089</v>
      </c>
      <c r="E75" s="470" t="s">
        <v>8563</v>
      </c>
      <c r="F75" s="471" t="s">
        <v>7619</v>
      </c>
      <c r="G75" t="s">
        <v>9128</v>
      </c>
      <c r="H75" s="89" t="s">
        <v>6849</v>
      </c>
      <c r="I75" s="89" t="s">
        <v>6172</v>
      </c>
      <c r="J75" s="89" t="s">
        <v>7215</v>
      </c>
      <c r="K75" s="456" t="s">
        <v>6555</v>
      </c>
    </row>
    <row r="76" spans="1:11" x14ac:dyDescent="0.3">
      <c r="A76" s="422" t="s">
        <v>4428</v>
      </c>
      <c r="B76" s="423" t="str">
        <f t="shared" si="5"/>
        <v>Biodiversity - Land-use</v>
      </c>
      <c r="C76" s="422" t="s">
        <v>4389</v>
      </c>
      <c r="D76" s="470" t="s">
        <v>8090</v>
      </c>
      <c r="E76" s="470" t="s">
        <v>8564</v>
      </c>
      <c r="F76" s="471" t="s">
        <v>7620</v>
      </c>
      <c r="G76" t="s">
        <v>9129</v>
      </c>
      <c r="H76" s="89" t="s">
        <v>6850</v>
      </c>
      <c r="I76" s="89" t="s">
        <v>6173</v>
      </c>
      <c r="J76" s="89" t="s">
        <v>5831</v>
      </c>
      <c r="K76" s="456" t="s">
        <v>5713</v>
      </c>
    </row>
    <row r="77" spans="1:11" x14ac:dyDescent="0.3">
      <c r="A77" s="422" t="s">
        <v>4429</v>
      </c>
      <c r="B77" s="423" t="str">
        <f t="shared" si="5"/>
        <v>· B6 - Water</v>
      </c>
      <c r="C77" s="422" t="s">
        <v>3693</v>
      </c>
      <c r="D77" s="470" t="s">
        <v>8091</v>
      </c>
      <c r="E77" s="470" t="s">
        <v>8954</v>
      </c>
      <c r="F77" s="471" t="s">
        <v>7621</v>
      </c>
      <c r="G77" t="s">
        <v>9130</v>
      </c>
      <c r="H77" s="89" t="s">
        <v>8983</v>
      </c>
      <c r="I77" s="89" t="s">
        <v>9009</v>
      </c>
      <c r="J77" s="89" t="s">
        <v>7526</v>
      </c>
      <c r="K77" s="456" t="s">
        <v>9047</v>
      </c>
    </row>
    <row r="78" spans="1:11" x14ac:dyDescent="0.3">
      <c r="A78" s="422" t="s">
        <v>4430</v>
      </c>
      <c r="B78" s="423" t="str">
        <f t="shared" si="5"/>
        <v>Water Withdrawal</v>
      </c>
      <c r="C78" s="422" t="s">
        <v>4390</v>
      </c>
      <c r="D78" s="470" t="s">
        <v>8092</v>
      </c>
      <c r="E78" s="470" t="s">
        <v>8565</v>
      </c>
      <c r="F78" s="471" t="s">
        <v>7622</v>
      </c>
      <c r="G78" t="s">
        <v>9131</v>
      </c>
      <c r="H78" s="89" t="s">
        <v>6851</v>
      </c>
      <c r="I78" s="89" t="s">
        <v>5914</v>
      </c>
      <c r="J78" s="89" t="s">
        <v>7216</v>
      </c>
      <c r="K78" s="456" t="s">
        <v>5714</v>
      </c>
    </row>
    <row r="79" spans="1:11" x14ac:dyDescent="0.3">
      <c r="A79" s="422" t="s">
        <v>4431</v>
      </c>
      <c r="B79" s="423" t="str">
        <f t="shared" si="5"/>
        <v>Water Consumption</v>
      </c>
      <c r="C79" s="422" t="s">
        <v>4391</v>
      </c>
      <c r="D79" s="470" t="s">
        <v>8093</v>
      </c>
      <c r="E79" s="470" t="s">
        <v>8566</v>
      </c>
      <c r="F79" s="471" t="s">
        <v>7623</v>
      </c>
      <c r="G79" t="s">
        <v>9132</v>
      </c>
      <c r="H79" s="89" t="s">
        <v>5994</v>
      </c>
      <c r="I79" s="89" t="s">
        <v>5915</v>
      </c>
      <c r="J79" s="89" t="s">
        <v>7217</v>
      </c>
      <c r="K79" s="456" t="s">
        <v>5715</v>
      </c>
    </row>
    <row r="80" spans="1:11" ht="28.8" x14ac:dyDescent="0.3">
      <c r="A80" s="422" t="s">
        <v>4432</v>
      </c>
      <c r="B80" s="423" t="str">
        <f t="shared" si="5"/>
        <v>· B7 - Resource use, circular economy and waste management</v>
      </c>
      <c r="C80" s="422" t="s">
        <v>3694</v>
      </c>
      <c r="D80" s="470" t="s">
        <v>8094</v>
      </c>
      <c r="E80" s="470" t="s">
        <v>8955</v>
      </c>
      <c r="F80" s="471" t="s">
        <v>7624</v>
      </c>
      <c r="G80" t="s">
        <v>9133</v>
      </c>
      <c r="H80" s="89" t="s">
        <v>6852</v>
      </c>
      <c r="I80" s="89" t="s">
        <v>9010</v>
      </c>
      <c r="J80" s="89" t="s">
        <v>7516</v>
      </c>
      <c r="K80" s="456" t="s">
        <v>6556</v>
      </c>
    </row>
    <row r="81" spans="1:11" x14ac:dyDescent="0.3">
      <c r="A81" s="422" t="s">
        <v>4433</v>
      </c>
      <c r="B81" s="423" t="str">
        <f t="shared" si="5"/>
        <v>Description of circular economy principles</v>
      </c>
      <c r="C81" s="422" t="s">
        <v>4392</v>
      </c>
      <c r="D81" s="470" t="s">
        <v>8095</v>
      </c>
      <c r="E81" s="470" t="s">
        <v>8567</v>
      </c>
      <c r="F81" s="471" t="s">
        <v>7625</v>
      </c>
      <c r="G81" t="s">
        <v>9134</v>
      </c>
      <c r="H81" s="89" t="s">
        <v>5995</v>
      </c>
      <c r="I81" s="89" t="s">
        <v>6174</v>
      </c>
      <c r="J81" s="89" t="s">
        <v>5832</v>
      </c>
      <c r="K81" s="456" t="s">
        <v>5716</v>
      </c>
    </row>
    <row r="82" spans="1:11" x14ac:dyDescent="0.3">
      <c r="A82" s="422" t="s">
        <v>4434</v>
      </c>
      <c r="B82" s="423" t="str">
        <f t="shared" si="5"/>
        <v>Waste generated</v>
      </c>
      <c r="C82" s="422" t="s">
        <v>4393</v>
      </c>
      <c r="D82" s="470" t="s">
        <v>8096</v>
      </c>
      <c r="E82" s="470" t="s">
        <v>8568</v>
      </c>
      <c r="F82" s="471" t="s">
        <v>7626</v>
      </c>
      <c r="G82" t="s">
        <v>9135</v>
      </c>
      <c r="H82" s="89" t="s">
        <v>5996</v>
      </c>
      <c r="I82" s="89" t="s">
        <v>6175</v>
      </c>
      <c r="J82" s="89" t="s">
        <v>7218</v>
      </c>
      <c r="K82" s="456" t="s">
        <v>5717</v>
      </c>
    </row>
    <row r="83" spans="1:11" ht="28.8" x14ac:dyDescent="0.3">
      <c r="A83" s="422" t="s">
        <v>4435</v>
      </c>
      <c r="B83" s="423" t="str">
        <f t="shared" si="5"/>
        <v>Annual mass-flow of relevant materials used</v>
      </c>
      <c r="C83" s="422" t="s">
        <v>4394</v>
      </c>
      <c r="D83" s="470" t="s">
        <v>8097</v>
      </c>
      <c r="E83" s="479" t="s">
        <v>8569</v>
      </c>
      <c r="F83" s="471" t="s">
        <v>7627</v>
      </c>
      <c r="G83" t="s">
        <v>9136</v>
      </c>
      <c r="H83" s="89" t="s">
        <v>6853</v>
      </c>
      <c r="I83" s="89" t="s">
        <v>6176</v>
      </c>
      <c r="J83" s="89" t="s">
        <v>7219</v>
      </c>
      <c r="K83" s="456" t="s">
        <v>6557</v>
      </c>
    </row>
    <row r="84" spans="1:11" x14ac:dyDescent="0.3">
      <c r="A84" s="422" t="s">
        <v>4436</v>
      </c>
      <c r="B84" s="423" t="str">
        <f t="shared" si="5"/>
        <v>Social Disclosures</v>
      </c>
      <c r="C84" s="422" t="s">
        <v>3667</v>
      </c>
      <c r="D84" s="470" t="s">
        <v>8098</v>
      </c>
      <c r="E84" s="470" t="s">
        <v>8570</v>
      </c>
      <c r="F84" s="471" t="s">
        <v>7628</v>
      </c>
      <c r="G84" t="s">
        <v>9137</v>
      </c>
      <c r="H84" s="89" t="s">
        <v>6854</v>
      </c>
      <c r="I84" s="89" t="s">
        <v>6177</v>
      </c>
      <c r="J84" s="89" t="s">
        <v>7220</v>
      </c>
      <c r="K84" s="456" t="s">
        <v>6558</v>
      </c>
    </row>
    <row r="85" spans="1:11" x14ac:dyDescent="0.3">
      <c r="A85" s="422" t="s">
        <v>4437</v>
      </c>
      <c r="B85" s="423" t="str">
        <f t="shared" si="5"/>
        <v>· B8 - Workforce - General characteristics</v>
      </c>
      <c r="C85" s="422" t="s">
        <v>3697</v>
      </c>
      <c r="D85" s="470" t="s">
        <v>8099</v>
      </c>
      <c r="E85" s="470" t="s">
        <v>8956</v>
      </c>
      <c r="F85" s="471" t="s">
        <v>7629</v>
      </c>
      <c r="G85" t="s">
        <v>9138</v>
      </c>
      <c r="H85" s="89" t="s">
        <v>8984</v>
      </c>
      <c r="I85" s="89" t="s">
        <v>9011</v>
      </c>
      <c r="J85" s="89" t="s">
        <v>7515</v>
      </c>
      <c r="K85" s="456" t="s">
        <v>9048</v>
      </c>
    </row>
    <row r="86" spans="1:11" x14ac:dyDescent="0.3">
      <c r="A86" s="422" t="s">
        <v>4438</v>
      </c>
      <c r="B86" s="423" t="str">
        <f t="shared" si="5"/>
        <v>Type of contract</v>
      </c>
      <c r="C86" s="422" t="s">
        <v>22</v>
      </c>
      <c r="D86" s="470" t="s">
        <v>8100</v>
      </c>
      <c r="E86" s="470" t="s">
        <v>8571</v>
      </c>
      <c r="F86" s="471" t="s">
        <v>7630</v>
      </c>
      <c r="G86" t="s">
        <v>9139</v>
      </c>
      <c r="H86" s="89" t="s">
        <v>6855</v>
      </c>
      <c r="I86" s="89" t="s">
        <v>5916</v>
      </c>
      <c r="J86" s="89" t="s">
        <v>5718</v>
      </c>
      <c r="K86" s="456" t="s">
        <v>5718</v>
      </c>
    </row>
    <row r="87" spans="1:11" x14ac:dyDescent="0.3">
      <c r="A87" s="422" t="s">
        <v>4439</v>
      </c>
      <c r="B87" s="423" t="str">
        <f t="shared" si="5"/>
        <v>Gender</v>
      </c>
      <c r="C87" s="422" t="s">
        <v>25</v>
      </c>
      <c r="D87" s="470" t="s">
        <v>8101</v>
      </c>
      <c r="E87" s="470" t="s">
        <v>8572</v>
      </c>
      <c r="F87" s="471" t="s">
        <v>7631</v>
      </c>
      <c r="G87" t="s">
        <v>9140</v>
      </c>
      <c r="H87" s="89" t="s">
        <v>5997</v>
      </c>
      <c r="I87" s="89" t="s">
        <v>5917</v>
      </c>
      <c r="J87" s="89" t="s">
        <v>5719</v>
      </c>
      <c r="K87" s="456" t="s">
        <v>5719</v>
      </c>
    </row>
    <row r="88" spans="1:11" x14ac:dyDescent="0.3">
      <c r="A88" s="422" t="s">
        <v>4440</v>
      </c>
      <c r="B88" s="423" t="str">
        <f t="shared" si="5"/>
        <v>Country of employment</v>
      </c>
      <c r="C88" s="422" t="s">
        <v>4395</v>
      </c>
      <c r="D88" s="470" t="s">
        <v>8102</v>
      </c>
      <c r="E88" s="470" t="s">
        <v>8573</v>
      </c>
      <c r="F88" s="471" t="s">
        <v>7632</v>
      </c>
      <c r="G88" t="s">
        <v>9141</v>
      </c>
      <c r="H88" s="89" t="s">
        <v>6856</v>
      </c>
      <c r="I88" s="89" t="s">
        <v>5918</v>
      </c>
      <c r="J88" s="89" t="s">
        <v>5833</v>
      </c>
      <c r="K88" s="456" t="s">
        <v>5720</v>
      </c>
    </row>
    <row r="89" spans="1:11" x14ac:dyDescent="0.3">
      <c r="A89" s="422" t="s">
        <v>4441</v>
      </c>
      <c r="B89" s="423" t="str">
        <f t="shared" si="5"/>
        <v>Turnover rate</v>
      </c>
      <c r="C89" s="422" t="s">
        <v>4396</v>
      </c>
      <c r="D89" s="470" t="s">
        <v>8103</v>
      </c>
      <c r="E89" s="470" t="s">
        <v>8574</v>
      </c>
      <c r="F89" s="471" t="s">
        <v>7633</v>
      </c>
      <c r="G89" t="s">
        <v>9142</v>
      </c>
      <c r="H89" s="89" t="s">
        <v>5998</v>
      </c>
      <c r="I89" s="89" t="s">
        <v>5919</v>
      </c>
      <c r="J89" s="89" t="s">
        <v>5834</v>
      </c>
      <c r="K89" s="456" t="s">
        <v>5721</v>
      </c>
    </row>
    <row r="90" spans="1:11" x14ac:dyDescent="0.3">
      <c r="A90" s="422" t="s">
        <v>4442</v>
      </c>
      <c r="B90" s="423" t="str">
        <f t="shared" si="5"/>
        <v>· B9 - Workforce – Health and safety</v>
      </c>
      <c r="C90" s="422" t="s">
        <v>3698</v>
      </c>
      <c r="D90" s="470" t="s">
        <v>8104</v>
      </c>
      <c r="E90" s="470" t="s">
        <v>8957</v>
      </c>
      <c r="F90" s="471" t="s">
        <v>7634</v>
      </c>
      <c r="G90" t="s">
        <v>9143</v>
      </c>
      <c r="H90" s="89" t="s">
        <v>8985</v>
      </c>
      <c r="I90" s="89" t="s">
        <v>9012</v>
      </c>
      <c r="J90" s="89" t="s">
        <v>7514</v>
      </c>
      <c r="K90" s="456" t="s">
        <v>9049</v>
      </c>
    </row>
    <row r="91" spans="1:11" ht="28.8" x14ac:dyDescent="0.3">
      <c r="A91" s="422" t="s">
        <v>4443</v>
      </c>
      <c r="B91" s="423" t="str">
        <f t="shared" si="5"/>
        <v>· B10 - Workforce – Remuneration, collective bargaining and training</v>
      </c>
      <c r="C91" s="422" t="s">
        <v>4397</v>
      </c>
      <c r="D91" s="470" t="s">
        <v>8105</v>
      </c>
      <c r="E91" s="470" t="s">
        <v>8958</v>
      </c>
      <c r="F91" s="471" t="s">
        <v>7635</v>
      </c>
      <c r="G91" t="s">
        <v>9144</v>
      </c>
      <c r="H91" s="89" t="s">
        <v>8986</v>
      </c>
      <c r="I91" s="89" t="s">
        <v>9013</v>
      </c>
      <c r="J91" s="89" t="s">
        <v>6087</v>
      </c>
      <c r="K91" s="456" t="s">
        <v>9050</v>
      </c>
    </row>
    <row r="92" spans="1:11" x14ac:dyDescent="0.3">
      <c r="A92" s="422" t="s">
        <v>4444</v>
      </c>
      <c r="B92" s="423" t="str">
        <f t="shared" si="5"/>
        <v>Governance Disclosures</v>
      </c>
      <c r="C92" s="422" t="s">
        <v>3668</v>
      </c>
      <c r="D92" s="470" t="s">
        <v>8106</v>
      </c>
      <c r="E92" s="470" t="s">
        <v>8576</v>
      </c>
      <c r="F92" s="471" t="s">
        <v>7636</v>
      </c>
      <c r="G92" t="s">
        <v>9145</v>
      </c>
      <c r="H92" s="89" t="s">
        <v>6857</v>
      </c>
      <c r="I92" s="89" t="s">
        <v>6179</v>
      </c>
      <c r="J92" s="89" t="s">
        <v>7222</v>
      </c>
      <c r="K92" s="456" t="s">
        <v>6478</v>
      </c>
    </row>
    <row r="93" spans="1:11" ht="28.8" x14ac:dyDescent="0.3">
      <c r="A93" s="422" t="s">
        <v>4445</v>
      </c>
      <c r="B93" s="423" t="str">
        <f t="shared" si="5"/>
        <v>· B11 - Convictions and fines for corruption and bribery</v>
      </c>
      <c r="C93" s="422" t="s">
        <v>3703</v>
      </c>
      <c r="D93" s="470" t="s">
        <v>8107</v>
      </c>
      <c r="E93" s="470" t="s">
        <v>8959</v>
      </c>
      <c r="F93" s="471" t="s">
        <v>7637</v>
      </c>
      <c r="G93" t="s">
        <v>9146</v>
      </c>
      <c r="H93" s="89" t="s">
        <v>8987</v>
      </c>
      <c r="I93" s="89" t="s">
        <v>9014</v>
      </c>
      <c r="J93" s="89" t="s">
        <v>7513</v>
      </c>
      <c r="K93" s="456" t="s">
        <v>9051</v>
      </c>
    </row>
    <row r="94" spans="1:11" x14ac:dyDescent="0.3">
      <c r="A94" s="422" t="s">
        <v>4446</v>
      </c>
      <c r="B94" s="423" t="str">
        <f t="shared" si="5"/>
        <v>Comprehensive Module</v>
      </c>
      <c r="C94" s="422" t="s">
        <v>2885</v>
      </c>
      <c r="D94" s="470" t="s">
        <v>8108</v>
      </c>
      <c r="E94" s="470" t="s">
        <v>8532</v>
      </c>
      <c r="F94" s="471" t="s">
        <v>7584</v>
      </c>
      <c r="G94" t="s">
        <v>9147</v>
      </c>
      <c r="H94" s="89" t="s">
        <v>6858</v>
      </c>
      <c r="I94" s="89" t="s">
        <v>6150</v>
      </c>
      <c r="J94" s="89" t="s">
        <v>7223</v>
      </c>
      <c r="K94" s="456" t="s">
        <v>5706</v>
      </c>
    </row>
    <row r="95" spans="1:11" ht="57.6" x14ac:dyDescent="0.3">
      <c r="A95" s="422" t="s">
        <v>4447</v>
      </c>
      <c r="B95" s="423" t="str">
        <f t="shared" si="5"/>
        <v>· C1 - Strategy: Business Model and Sustainability – Related Initiatives</v>
      </c>
      <c r="C95" s="422" t="s">
        <v>3688</v>
      </c>
      <c r="D95" s="470" t="s">
        <v>8109</v>
      </c>
      <c r="E95" s="470" t="s">
        <v>8960</v>
      </c>
      <c r="F95" s="471" t="s">
        <v>7638</v>
      </c>
      <c r="G95" t="s">
        <v>9148</v>
      </c>
      <c r="H95" s="89" t="s">
        <v>8988</v>
      </c>
      <c r="I95" s="89" t="s">
        <v>9015</v>
      </c>
      <c r="J95" s="89" t="s">
        <v>7224</v>
      </c>
      <c r="K95" s="456" t="s">
        <v>6501</v>
      </c>
    </row>
    <row r="96" spans="1:11" ht="43.2" x14ac:dyDescent="0.3">
      <c r="A96" s="422" t="s">
        <v>4448</v>
      </c>
      <c r="B96" s="423" t="str">
        <f t="shared" si="5"/>
        <v>· C2 - Description of practices, policies and future initiatives for transitioning towards a more sustainable economy</v>
      </c>
      <c r="C96" s="422" t="s">
        <v>3689</v>
      </c>
      <c r="D96" s="470" t="s">
        <v>8110</v>
      </c>
      <c r="E96" s="470" t="s">
        <v>8961</v>
      </c>
      <c r="F96" s="471" t="s">
        <v>7639</v>
      </c>
      <c r="G96" t="s">
        <v>9149</v>
      </c>
      <c r="H96" s="89" t="s">
        <v>8989</v>
      </c>
      <c r="I96" s="89" t="s">
        <v>9016</v>
      </c>
      <c r="J96" s="89" t="s">
        <v>5835</v>
      </c>
      <c r="K96" s="456" t="s">
        <v>6783</v>
      </c>
    </row>
    <row r="97" spans="1:11" ht="28.8" x14ac:dyDescent="0.3">
      <c r="A97" s="422" t="s">
        <v>4449</v>
      </c>
      <c r="B97" s="423" t="str">
        <f t="shared" si="5"/>
        <v>· C3 - GHG reduction targets and climate transition</v>
      </c>
      <c r="C97" s="422" t="s">
        <v>3695</v>
      </c>
      <c r="D97" s="470" t="s">
        <v>8111</v>
      </c>
      <c r="E97" s="470" t="s">
        <v>8962</v>
      </c>
      <c r="F97" s="471" t="s">
        <v>7640</v>
      </c>
      <c r="G97" t="s">
        <v>9150</v>
      </c>
      <c r="H97" s="89" t="s">
        <v>8990</v>
      </c>
      <c r="I97" s="89" t="s">
        <v>9017</v>
      </c>
      <c r="J97" s="89" t="s">
        <v>7225</v>
      </c>
      <c r="K97" s="456" t="s">
        <v>6560</v>
      </c>
    </row>
    <row r="98" spans="1:11" x14ac:dyDescent="0.3">
      <c r="A98" s="422" t="s">
        <v>4450</v>
      </c>
      <c r="B98" s="423" t="str">
        <f t="shared" si="5"/>
        <v>GHG reduction targets (in tC02e)</v>
      </c>
      <c r="C98" s="422" t="s">
        <v>4398</v>
      </c>
      <c r="D98" s="470" t="s">
        <v>8112</v>
      </c>
      <c r="E98" s="455" t="s">
        <v>8579</v>
      </c>
      <c r="F98" s="471" t="s">
        <v>7641</v>
      </c>
      <c r="G98" t="s">
        <v>9151</v>
      </c>
      <c r="H98" s="89" t="s">
        <v>6859</v>
      </c>
      <c r="I98" s="89" t="s">
        <v>6181</v>
      </c>
      <c r="J98" s="89" t="s">
        <v>7278</v>
      </c>
      <c r="K98" s="456" t="s">
        <v>6561</v>
      </c>
    </row>
    <row r="99" spans="1:11" ht="28.8" x14ac:dyDescent="0.3">
      <c r="A99" s="422" t="s">
        <v>4451</v>
      </c>
      <c r="B99" s="423" t="str">
        <f t="shared" si="5"/>
        <v>Disclosure of list of main actions the entity seeks in order  to achieve its targets</v>
      </c>
      <c r="C99" s="422" t="s">
        <v>4399</v>
      </c>
      <c r="D99" s="470" t="s">
        <v>8113</v>
      </c>
      <c r="E99" s="470" t="s">
        <v>8580</v>
      </c>
      <c r="F99" s="471" t="s">
        <v>7642</v>
      </c>
      <c r="G99" t="s">
        <v>9152</v>
      </c>
      <c r="H99" s="89" t="s">
        <v>6860</v>
      </c>
      <c r="I99" s="89" t="s">
        <v>6182</v>
      </c>
      <c r="J99" s="89" t="s">
        <v>7226</v>
      </c>
      <c r="K99" s="456" t="s">
        <v>6562</v>
      </c>
    </row>
    <row r="100" spans="1:11" ht="28.8" x14ac:dyDescent="0.3">
      <c r="A100" s="422" t="s">
        <v>4452</v>
      </c>
      <c r="B100" s="423" t="str">
        <f t="shared" si="5"/>
        <v>Transition plan for undertakings operating in high climate impact sectors</v>
      </c>
      <c r="C100" s="422" t="s">
        <v>4400</v>
      </c>
      <c r="D100" s="470" t="s">
        <v>8114</v>
      </c>
      <c r="E100" s="470" t="s">
        <v>8581</v>
      </c>
      <c r="F100" s="471" t="s">
        <v>7643</v>
      </c>
      <c r="G100" t="s">
        <v>9153</v>
      </c>
      <c r="H100" s="89" t="s">
        <v>6861</v>
      </c>
      <c r="I100" s="89" t="s">
        <v>6183</v>
      </c>
      <c r="J100" s="89" t="s">
        <v>5836</v>
      </c>
      <c r="K100" s="456" t="s">
        <v>6563</v>
      </c>
    </row>
    <row r="101" spans="1:11" x14ac:dyDescent="0.3">
      <c r="A101" s="422" t="s">
        <v>4453</v>
      </c>
      <c r="B101" s="423" t="str">
        <f t="shared" si="5"/>
        <v>· C4 - Climate risks</v>
      </c>
      <c r="C101" s="422" t="s">
        <v>3696</v>
      </c>
      <c r="D101" s="470" t="s">
        <v>8115</v>
      </c>
      <c r="E101" s="470" t="s">
        <v>8963</v>
      </c>
      <c r="F101" s="471" t="s">
        <v>7644</v>
      </c>
      <c r="G101" t="s">
        <v>9154</v>
      </c>
      <c r="H101" s="89" t="s">
        <v>8991</v>
      </c>
      <c r="I101" s="89" t="s">
        <v>9018</v>
      </c>
      <c r="J101" s="89" t="s">
        <v>7512</v>
      </c>
      <c r="K101" s="456" t="s">
        <v>5722</v>
      </c>
    </row>
    <row r="102" spans="1:11" ht="28.8" x14ac:dyDescent="0.3">
      <c r="A102" s="422" t="s">
        <v>4454</v>
      </c>
      <c r="B102" s="423" t="str">
        <f t="shared" si="5"/>
        <v>· C5 - Additional (general) workforce characteristics</v>
      </c>
      <c r="C102" s="422" t="s">
        <v>3699</v>
      </c>
      <c r="D102" s="470" t="s">
        <v>8116</v>
      </c>
      <c r="E102" s="470" t="s">
        <v>8964</v>
      </c>
      <c r="F102" s="471" t="s">
        <v>7645</v>
      </c>
      <c r="G102" t="s">
        <v>9155</v>
      </c>
      <c r="H102" s="89" t="s">
        <v>6862</v>
      </c>
      <c r="I102" s="89" t="s">
        <v>9019</v>
      </c>
      <c r="J102" s="89" t="s">
        <v>7228</v>
      </c>
      <c r="K102" s="456" t="s">
        <v>9052</v>
      </c>
    </row>
    <row r="103" spans="1:11" ht="43.2" x14ac:dyDescent="0.3">
      <c r="A103" s="422" t="s">
        <v>4455</v>
      </c>
      <c r="B103" s="423" t="str">
        <f t="shared" si="5"/>
        <v>· C6 - Additional own workforce information - Human rights policies and processes</v>
      </c>
      <c r="C103" s="422" t="s">
        <v>3700</v>
      </c>
      <c r="D103" s="470" t="s">
        <v>8117</v>
      </c>
      <c r="E103" s="470" t="s">
        <v>8965</v>
      </c>
      <c r="F103" s="471" t="s">
        <v>7646</v>
      </c>
      <c r="G103" t="s">
        <v>9156</v>
      </c>
      <c r="H103" s="89" t="s">
        <v>8992</v>
      </c>
      <c r="I103" s="89" t="s">
        <v>9020</v>
      </c>
      <c r="J103" s="89" t="s">
        <v>7229</v>
      </c>
      <c r="K103" s="456" t="s">
        <v>9053</v>
      </c>
    </row>
    <row r="104" spans="1:11" ht="28.8" x14ac:dyDescent="0.3">
      <c r="A104" s="422" t="s">
        <v>4456</v>
      </c>
      <c r="B104" s="423" t="str">
        <f t="shared" si="5"/>
        <v>· C7 - Severe negative human rights incidents</v>
      </c>
      <c r="C104" s="422" t="s">
        <v>3701</v>
      </c>
      <c r="D104" s="470" t="s">
        <v>8118</v>
      </c>
      <c r="E104" s="470" t="s">
        <v>8966</v>
      </c>
      <c r="F104" s="471" t="s">
        <v>7647</v>
      </c>
      <c r="G104" t="s">
        <v>9157</v>
      </c>
      <c r="H104" s="89" t="s">
        <v>8993</v>
      </c>
      <c r="I104" s="89" t="s">
        <v>9021</v>
      </c>
      <c r="J104" s="89" t="s">
        <v>7230</v>
      </c>
      <c r="K104" s="456" t="s">
        <v>6566</v>
      </c>
    </row>
    <row r="105" spans="1:11" ht="28.8" x14ac:dyDescent="0.3">
      <c r="A105" s="422" t="s">
        <v>4457</v>
      </c>
      <c r="B105" s="423" t="str">
        <f t="shared" si="5"/>
        <v>· C8 - Revenues from certain activities and exclusion from EU reference benchmarks</v>
      </c>
      <c r="C105" s="422" t="s">
        <v>6460</v>
      </c>
      <c r="D105" s="470" t="s">
        <v>8119</v>
      </c>
      <c r="E105" s="470" t="s">
        <v>8967</v>
      </c>
      <c r="F105" s="471" t="s">
        <v>7648</v>
      </c>
      <c r="G105" t="s">
        <v>9158</v>
      </c>
      <c r="H105" s="89" t="s">
        <v>8994</v>
      </c>
      <c r="I105" s="89" t="s">
        <v>9022</v>
      </c>
      <c r="J105" s="89" t="s">
        <v>7536</v>
      </c>
      <c r="K105" s="456" t="s">
        <v>9054</v>
      </c>
    </row>
    <row r="106" spans="1:11" x14ac:dyDescent="0.3">
      <c r="A106" s="422" t="s">
        <v>4458</v>
      </c>
      <c r="B106" s="423" t="str">
        <f t="shared" si="5"/>
        <v>Revenues from certain activities</v>
      </c>
      <c r="C106" s="422" t="s">
        <v>6461</v>
      </c>
      <c r="D106" s="470" t="s">
        <v>8120</v>
      </c>
      <c r="E106" s="470" t="s">
        <v>8585</v>
      </c>
      <c r="F106" s="471" t="s">
        <v>7649</v>
      </c>
      <c r="G106" t="s">
        <v>9159</v>
      </c>
      <c r="H106" t="s">
        <v>7168</v>
      </c>
      <c r="I106" s="89" t="s">
        <v>6187</v>
      </c>
      <c r="J106" s="89" t="s">
        <v>7535</v>
      </c>
      <c r="K106" s="456" t="s">
        <v>6797</v>
      </c>
    </row>
    <row r="107" spans="1:11" x14ac:dyDescent="0.3">
      <c r="A107" s="422" t="s">
        <v>4459</v>
      </c>
      <c r="B107" s="423" t="str">
        <f t="shared" si="5"/>
        <v>Exclusion from EU reference benchmarks</v>
      </c>
      <c r="C107" s="422" t="s">
        <v>4401</v>
      </c>
      <c r="D107" s="470" t="s">
        <v>8121</v>
      </c>
      <c r="E107" s="470" t="s">
        <v>8586</v>
      </c>
      <c r="F107" s="471" t="s">
        <v>7650</v>
      </c>
      <c r="G107" t="s">
        <v>9160</v>
      </c>
      <c r="H107" s="89" t="s">
        <v>6863</v>
      </c>
      <c r="I107" s="89" t="s">
        <v>5920</v>
      </c>
      <c r="J107" s="89" t="s">
        <v>5837</v>
      </c>
      <c r="K107" s="456" t="s">
        <v>5723</v>
      </c>
    </row>
    <row r="108" spans="1:11" x14ac:dyDescent="0.3">
      <c r="A108" s="422" t="s">
        <v>4460</v>
      </c>
      <c r="B108" s="423" t="str">
        <f t="shared" si="5"/>
        <v>· C9 - Gender diversity ratio in the governance body</v>
      </c>
      <c r="C108" s="422" t="s">
        <v>3704</v>
      </c>
      <c r="D108" s="470" t="s">
        <v>8122</v>
      </c>
      <c r="E108" s="470" t="s">
        <v>8968</v>
      </c>
      <c r="F108" s="471" t="s">
        <v>7651</v>
      </c>
      <c r="G108" t="s">
        <v>9161</v>
      </c>
      <c r="H108" s="89" t="s">
        <v>8995</v>
      </c>
      <c r="I108" s="89" t="s">
        <v>9023</v>
      </c>
      <c r="J108" s="89" t="s">
        <v>5838</v>
      </c>
      <c r="K108" s="456" t="s">
        <v>9055</v>
      </c>
    </row>
    <row r="109" spans="1:11" x14ac:dyDescent="0.3">
      <c r="A109" s="422" t="s">
        <v>4461</v>
      </c>
      <c r="B109" s="423" t="str">
        <f t="shared" si="5"/>
        <v>Additional Disclosures</v>
      </c>
      <c r="C109" s="422" t="s">
        <v>3723</v>
      </c>
      <c r="D109" s="470" t="s">
        <v>8123</v>
      </c>
      <c r="E109" s="470" t="s">
        <v>8588</v>
      </c>
      <c r="F109" s="471" t="s">
        <v>7652</v>
      </c>
      <c r="G109" t="s">
        <v>9162</v>
      </c>
      <c r="H109" s="89" t="s">
        <v>6864</v>
      </c>
      <c r="I109" s="89" t="s">
        <v>6188</v>
      </c>
      <c r="J109" s="89" t="s">
        <v>7231</v>
      </c>
      <c r="K109" s="456" t="s">
        <v>5724</v>
      </c>
    </row>
    <row r="110" spans="1:11" ht="57.6" x14ac:dyDescent="0.3">
      <c r="A110" s="422" t="s">
        <v>4462</v>
      </c>
      <c r="B110" s="423" t="str">
        <f t="shared" si="5"/>
        <v>· Disclosure of any other general and/or entity specific information on the reporting period</v>
      </c>
      <c r="C110" s="422" t="s">
        <v>3690</v>
      </c>
      <c r="D110" s="470" t="s">
        <v>8124</v>
      </c>
      <c r="E110" s="470" t="s">
        <v>8969</v>
      </c>
      <c r="F110" s="471" t="s">
        <v>7653</v>
      </c>
      <c r="G110" t="s">
        <v>9163</v>
      </c>
      <c r="H110" s="89" t="s">
        <v>6865</v>
      </c>
      <c r="I110" s="89" t="s">
        <v>9024</v>
      </c>
      <c r="J110" s="89" t="s">
        <v>9037</v>
      </c>
      <c r="K110" s="456" t="s">
        <v>9056</v>
      </c>
    </row>
    <row r="111" spans="1:11" ht="28.8" x14ac:dyDescent="0.3">
      <c r="A111" s="422" t="s">
        <v>4463</v>
      </c>
      <c r="B111" s="423" t="str">
        <f t="shared" si="5"/>
        <v>· Disclosure of any other environmental and/or entity specific environmental disclosures</v>
      </c>
      <c r="C111" s="422" t="s">
        <v>4402</v>
      </c>
      <c r="D111" s="470" t="s">
        <v>8125</v>
      </c>
      <c r="E111" s="470" t="s">
        <v>8970</v>
      </c>
      <c r="F111" s="471" t="s">
        <v>7654</v>
      </c>
      <c r="G111" t="s">
        <v>9164</v>
      </c>
      <c r="H111" s="89" t="s">
        <v>6866</v>
      </c>
      <c r="I111" s="89" t="s">
        <v>9025</v>
      </c>
      <c r="J111" s="89" t="s">
        <v>9038</v>
      </c>
      <c r="K111" s="456" t="s">
        <v>9057</v>
      </c>
    </row>
    <row r="112" spans="1:11" ht="28.8" x14ac:dyDescent="0.3">
      <c r="A112" s="422" t="s">
        <v>4464</v>
      </c>
      <c r="B112" s="423" t="str">
        <f t="shared" si="5"/>
        <v>· Disclosure of any other social and/or entity specific social disclosures</v>
      </c>
      <c r="C112" s="422" t="s">
        <v>3702</v>
      </c>
      <c r="D112" s="470" t="s">
        <v>8126</v>
      </c>
      <c r="E112" s="470" t="s">
        <v>8971</v>
      </c>
      <c r="F112" s="471" t="s">
        <v>7655</v>
      </c>
      <c r="G112" t="s">
        <v>9165</v>
      </c>
      <c r="H112" s="89" t="s">
        <v>6867</v>
      </c>
      <c r="I112" s="89" t="s">
        <v>9026</v>
      </c>
      <c r="J112" s="89" t="s">
        <v>9039</v>
      </c>
      <c r="K112" s="456" t="s">
        <v>9058</v>
      </c>
    </row>
    <row r="113" spans="1:11" s="12" customFormat="1" ht="29.4" thickBot="1" x14ac:dyDescent="0.35">
      <c r="A113" s="434" t="s">
        <v>4465</v>
      </c>
      <c r="B113" s="457" t="str">
        <f t="shared" si="5"/>
        <v>· Disclosure of any other governance and/or entity specific governance disclosures</v>
      </c>
      <c r="C113" s="434" t="s">
        <v>3705</v>
      </c>
      <c r="D113" s="478" t="s">
        <v>8127</v>
      </c>
      <c r="E113" s="478" t="s">
        <v>8972</v>
      </c>
      <c r="F113" s="472" t="s">
        <v>7656</v>
      </c>
      <c r="G113" s="12" t="s">
        <v>9166</v>
      </c>
      <c r="H113" s="424" t="s">
        <v>6868</v>
      </c>
      <c r="I113" s="424" t="s">
        <v>9027</v>
      </c>
      <c r="J113" s="424" t="s">
        <v>9040</v>
      </c>
      <c r="K113" s="476" t="s">
        <v>6503</v>
      </c>
    </row>
    <row r="114" spans="1:11" x14ac:dyDescent="0.3">
      <c r="A114" t="s">
        <v>4077</v>
      </c>
      <c r="B114" s="423" t="str">
        <f t="shared" si="5"/>
        <v>Paragraph Reference</v>
      </c>
      <c r="C114" t="s">
        <v>3729</v>
      </c>
      <c r="D114" s="470" t="s">
        <v>8128</v>
      </c>
      <c r="E114" s="470" t="s">
        <v>8592</v>
      </c>
      <c r="F114" s="471" t="s">
        <v>7657</v>
      </c>
      <c r="G114" t="s">
        <v>9167</v>
      </c>
      <c r="H114" s="89" t="s">
        <v>5999</v>
      </c>
      <c r="I114" s="89" t="s">
        <v>6190</v>
      </c>
      <c r="J114" s="89" t="s">
        <v>7232</v>
      </c>
      <c r="K114" s="456" t="s">
        <v>6568</v>
      </c>
    </row>
    <row r="115" spans="1:11" x14ac:dyDescent="0.3">
      <c r="A115" t="s">
        <v>4078</v>
      </c>
      <c r="B115" s="423" t="str">
        <f t="shared" si="5"/>
        <v>Paragraph Guidance Reference</v>
      </c>
      <c r="C115" t="s">
        <v>3728</v>
      </c>
      <c r="D115" s="470" t="s">
        <v>8129</v>
      </c>
      <c r="E115" s="470" t="s">
        <v>8593</v>
      </c>
      <c r="F115" s="471" t="s">
        <v>7658</v>
      </c>
      <c r="G115" t="s">
        <v>9168</v>
      </c>
      <c r="H115" s="89" t="s">
        <v>6869</v>
      </c>
      <c r="I115" s="89" t="s">
        <v>6191</v>
      </c>
      <c r="J115" s="89" t="s">
        <v>7233</v>
      </c>
      <c r="K115" s="456" t="s">
        <v>6479</v>
      </c>
    </row>
    <row r="116" spans="1:11" x14ac:dyDescent="0.3">
      <c r="A116" t="s">
        <v>4367</v>
      </c>
      <c r="B116" s="423" t="str">
        <f t="shared" si="5"/>
        <v>from</v>
      </c>
      <c r="C116" t="s">
        <v>4370</v>
      </c>
      <c r="D116" s="470" t="s">
        <v>8130</v>
      </c>
      <c r="E116" s="470" t="s">
        <v>8594</v>
      </c>
      <c r="F116" s="471" t="s">
        <v>7659</v>
      </c>
      <c r="G116" t="s">
        <v>8948</v>
      </c>
      <c r="H116" s="89" t="s">
        <v>6052</v>
      </c>
      <c r="I116" s="89" t="s">
        <v>5819</v>
      </c>
      <c r="J116" s="89" t="s">
        <v>4625</v>
      </c>
      <c r="K116" s="456" t="s">
        <v>4625</v>
      </c>
    </row>
    <row r="117" spans="1:11" x14ac:dyDescent="0.3">
      <c r="A117" t="s">
        <v>4368</v>
      </c>
      <c r="B117" s="423" t="str">
        <f t="shared" si="5"/>
        <v>to</v>
      </c>
      <c r="C117" t="s">
        <v>2930</v>
      </c>
      <c r="D117" s="470" t="s">
        <v>8131</v>
      </c>
      <c r="E117" s="470" t="s">
        <v>8595</v>
      </c>
      <c r="F117" s="471" t="s">
        <v>7660</v>
      </c>
      <c r="G117" t="s">
        <v>5695</v>
      </c>
      <c r="H117" s="89" t="s">
        <v>6000</v>
      </c>
      <c r="I117" s="89" t="s">
        <v>5688</v>
      </c>
      <c r="J117" s="89" t="s">
        <v>7234</v>
      </c>
      <c r="K117" s="456" t="s">
        <v>5695</v>
      </c>
    </row>
    <row r="118" spans="1:11" s="12" customFormat="1" ht="43.8" thickBot="1" x14ac:dyDescent="0.35">
      <c r="A118" s="12" t="s">
        <v>4369</v>
      </c>
      <c r="B118" s="457" t="str">
        <f t="shared" si="5"/>
        <v>at</v>
      </c>
      <c r="C118" s="12" t="s">
        <v>4371</v>
      </c>
      <c r="D118" s="478" t="s">
        <v>8132</v>
      </c>
      <c r="E118" s="478" t="s">
        <v>8596</v>
      </c>
      <c r="F118" s="472" t="s">
        <v>7661</v>
      </c>
      <c r="G118" s="12" t="s">
        <v>5695</v>
      </c>
      <c r="H118" s="424" t="s">
        <v>6870</v>
      </c>
      <c r="I118" s="424" t="s">
        <v>6192</v>
      </c>
      <c r="J118" s="424" t="s">
        <v>5839</v>
      </c>
      <c r="K118" s="476" t="s">
        <v>3949</v>
      </c>
    </row>
    <row r="119" spans="1:11" ht="43.2" x14ac:dyDescent="0.3">
      <c r="A119" t="s">
        <v>4079</v>
      </c>
      <c r="B119" s="423" t="str">
        <f t="shared" si="5"/>
        <v>[Always to be reported]</v>
      </c>
      <c r="C119" t="s">
        <v>3991</v>
      </c>
      <c r="D119" s="470" t="s">
        <v>8133</v>
      </c>
      <c r="E119" s="470" t="s">
        <v>8597</v>
      </c>
      <c r="F119" s="471" t="s">
        <v>7662</v>
      </c>
      <c r="G119" t="s">
        <v>9169</v>
      </c>
      <c r="H119" s="89" t="s">
        <v>6871</v>
      </c>
      <c r="I119" s="89" t="s">
        <v>5921</v>
      </c>
      <c r="J119" s="89" t="s">
        <v>7235</v>
      </c>
      <c r="K119" s="456" t="s">
        <v>6480</v>
      </c>
    </row>
    <row r="120" spans="1:11" x14ac:dyDescent="0.3">
      <c r="A120" t="s">
        <v>4080</v>
      </c>
      <c r="B120" s="423" t="str">
        <f t="shared" si="5"/>
        <v>[If applicable]</v>
      </c>
      <c r="C120" t="s">
        <v>3995</v>
      </c>
      <c r="D120" s="470" t="s">
        <v>8134</v>
      </c>
      <c r="E120" s="470" t="s">
        <v>8598</v>
      </c>
      <c r="F120" s="471" t="s">
        <v>7663</v>
      </c>
      <c r="G120" t="s">
        <v>9170</v>
      </c>
      <c r="H120" s="89" t="s">
        <v>6872</v>
      </c>
      <c r="I120" s="89" t="s">
        <v>6193</v>
      </c>
      <c r="J120" s="89" t="s">
        <v>5840</v>
      </c>
      <c r="K120" s="456" t="s">
        <v>6569</v>
      </c>
    </row>
    <row r="121" spans="1:11" x14ac:dyDescent="0.3">
      <c r="A121" t="s">
        <v>4081</v>
      </c>
      <c r="B121" s="423" t="str">
        <f t="shared" si="5"/>
        <v>[May (optional)]</v>
      </c>
      <c r="C121" t="s">
        <v>3996</v>
      </c>
      <c r="D121" s="470" t="s">
        <v>8135</v>
      </c>
      <c r="E121" s="470" t="s">
        <v>8599</v>
      </c>
      <c r="F121" s="471" t="s">
        <v>7664</v>
      </c>
      <c r="G121" t="s">
        <v>9171</v>
      </c>
      <c r="H121" s="89" t="s">
        <v>6873</v>
      </c>
      <c r="I121" s="89" t="s">
        <v>5922</v>
      </c>
      <c r="J121" s="89" t="s">
        <v>7236</v>
      </c>
      <c r="K121" s="456" t="s">
        <v>6481</v>
      </c>
    </row>
    <row r="122" spans="1:11" x14ac:dyDescent="0.3">
      <c r="A122" t="s">
        <v>4377</v>
      </c>
      <c r="B122" s="423" t="str">
        <f t="shared" si="5"/>
        <v>May (optional)</v>
      </c>
      <c r="C122" t="s">
        <v>4376</v>
      </c>
      <c r="D122" s="470" t="s">
        <v>8136</v>
      </c>
      <c r="E122" s="470" t="s">
        <v>8600</v>
      </c>
      <c r="F122" s="471" t="s">
        <v>7665</v>
      </c>
      <c r="G122" t="s">
        <v>9172</v>
      </c>
      <c r="H122" s="89" t="s">
        <v>6874</v>
      </c>
      <c r="I122" s="89" t="s">
        <v>5923</v>
      </c>
      <c r="J122" s="89" t="s">
        <v>7236</v>
      </c>
      <c r="K122" s="456" t="s">
        <v>6482</v>
      </c>
    </row>
    <row r="123" spans="1:11" x14ac:dyDescent="0.3">
      <c r="A123" t="s">
        <v>4082</v>
      </c>
      <c r="B123" s="423" t="str">
        <f t="shared" si="5"/>
        <v>[Always to be reported + If applicable]</v>
      </c>
      <c r="C123" t="s">
        <v>3998</v>
      </c>
      <c r="D123" s="470" t="s">
        <v>8137</v>
      </c>
      <c r="E123" s="470" t="s">
        <v>8601</v>
      </c>
      <c r="F123" s="471" t="s">
        <v>7666</v>
      </c>
      <c r="G123" t="s">
        <v>9173</v>
      </c>
      <c r="H123" s="89" t="s">
        <v>6875</v>
      </c>
      <c r="I123" s="89" t="s">
        <v>6194</v>
      </c>
      <c r="J123" s="89" t="s">
        <v>7237</v>
      </c>
      <c r="K123" s="456" t="s">
        <v>6570</v>
      </c>
    </row>
    <row r="124" spans="1:11" x14ac:dyDescent="0.3">
      <c r="A124" t="s">
        <v>4365</v>
      </c>
      <c r="B124" s="423" t="str">
        <f t="shared" si="5"/>
        <v>[If applicable linked with B2]</v>
      </c>
      <c r="C124" t="s">
        <v>4364</v>
      </c>
      <c r="D124" s="470" t="s">
        <v>8138</v>
      </c>
      <c r="E124" s="470" t="s">
        <v>8602</v>
      </c>
      <c r="F124" s="471" t="s">
        <v>7667</v>
      </c>
      <c r="G124" t="s">
        <v>9174</v>
      </c>
      <c r="H124" s="89" t="s">
        <v>6876</v>
      </c>
      <c r="I124" s="89" t="s">
        <v>6195</v>
      </c>
      <c r="J124" s="89" t="s">
        <v>7238</v>
      </c>
      <c r="K124" s="456" t="s">
        <v>5725</v>
      </c>
    </row>
    <row r="125" spans="1:11" s="12" customFormat="1" ht="58.2" thickBot="1" x14ac:dyDescent="0.35">
      <c r="A125" s="12" t="s">
        <v>4506</v>
      </c>
      <c r="B125" s="457" t="str">
        <f t="shared" si="5"/>
        <v>amount in</v>
      </c>
      <c r="C125" s="12" t="s">
        <v>4507</v>
      </c>
      <c r="D125" s="478" t="s">
        <v>8139</v>
      </c>
      <c r="E125" s="478" t="s">
        <v>8603</v>
      </c>
      <c r="F125" s="472" t="s">
        <v>7668</v>
      </c>
      <c r="G125" s="12" t="s">
        <v>9175</v>
      </c>
      <c r="H125" s="424" t="s">
        <v>6877</v>
      </c>
      <c r="I125" s="424" t="s">
        <v>5924</v>
      </c>
      <c r="J125" s="424" t="s">
        <v>7239</v>
      </c>
      <c r="K125" s="476" t="s">
        <v>6571</v>
      </c>
    </row>
    <row r="126" spans="1:11" x14ac:dyDescent="0.3">
      <c r="A126" t="s">
        <v>4083</v>
      </c>
      <c r="B126" s="423" t="str">
        <f t="shared" si="5"/>
        <v>Information on the report necessary for  XBRL</v>
      </c>
      <c r="C126" t="s">
        <v>3990</v>
      </c>
      <c r="D126" s="470" t="s">
        <v>8140</v>
      </c>
      <c r="E126" s="470" t="s">
        <v>8604</v>
      </c>
      <c r="F126" s="471" t="s">
        <v>7669</v>
      </c>
      <c r="G126" t="s">
        <v>9176</v>
      </c>
      <c r="H126" s="89" t="s">
        <v>6878</v>
      </c>
      <c r="I126" s="89" t="s">
        <v>6196</v>
      </c>
      <c r="J126" s="89" t="s">
        <v>7203</v>
      </c>
      <c r="K126" s="456" t="s">
        <v>6572</v>
      </c>
    </row>
    <row r="127" spans="1:11" ht="28.8" x14ac:dyDescent="0.3">
      <c r="A127" t="s">
        <v>4084</v>
      </c>
      <c r="B127" s="423" t="str">
        <f t="shared" si="5"/>
        <v>Name of the reporting entity</v>
      </c>
      <c r="C127" t="s">
        <v>0</v>
      </c>
      <c r="D127" s="470" t="s">
        <v>8141</v>
      </c>
      <c r="E127" s="470" t="s">
        <v>8605</v>
      </c>
      <c r="F127" s="471" t="s">
        <v>7670</v>
      </c>
      <c r="G127" t="s">
        <v>9177</v>
      </c>
      <c r="H127" s="89" t="s">
        <v>6879</v>
      </c>
      <c r="I127" s="89" t="s">
        <v>6197</v>
      </c>
      <c r="J127" s="89" t="s">
        <v>7240</v>
      </c>
      <c r="K127" s="456" t="s">
        <v>5726</v>
      </c>
    </row>
    <row r="128" spans="1:11" ht="28.8" x14ac:dyDescent="0.3">
      <c r="A128" t="s">
        <v>4085</v>
      </c>
      <c r="B128" s="423" t="str">
        <f t="shared" si="5"/>
        <v>Identifier of the reporting entity (select and specify on the right)</v>
      </c>
      <c r="C128" t="s">
        <v>3684</v>
      </c>
      <c r="D128" s="470" t="s">
        <v>8142</v>
      </c>
      <c r="E128" s="470" t="s">
        <v>8606</v>
      </c>
      <c r="F128" s="471" t="s">
        <v>7671</v>
      </c>
      <c r="G128" t="s">
        <v>9178</v>
      </c>
      <c r="H128" s="89" t="s">
        <v>6880</v>
      </c>
      <c r="I128" s="89" t="s">
        <v>6198</v>
      </c>
      <c r="J128" s="89" t="s">
        <v>7241</v>
      </c>
      <c r="K128" s="456" t="s">
        <v>6573</v>
      </c>
    </row>
    <row r="129" spans="1:11" x14ac:dyDescent="0.3">
      <c r="A129" t="s">
        <v>4086</v>
      </c>
      <c r="B129" s="423" t="str">
        <f t="shared" si="5"/>
        <v>Currency of the monetary values in the report</v>
      </c>
      <c r="C129" t="s">
        <v>3950</v>
      </c>
      <c r="D129" s="470" t="s">
        <v>8143</v>
      </c>
      <c r="E129" s="470" t="s">
        <v>8607</v>
      </c>
      <c r="F129" s="471" t="s">
        <v>7672</v>
      </c>
      <c r="G129" t="s">
        <v>9179</v>
      </c>
      <c r="H129" s="89" t="s">
        <v>6881</v>
      </c>
      <c r="I129" s="89" t="s">
        <v>6199</v>
      </c>
      <c r="J129" s="89" t="s">
        <v>7242</v>
      </c>
      <c r="K129" s="456" t="s">
        <v>6483</v>
      </c>
    </row>
    <row r="130" spans="1:11" x14ac:dyDescent="0.3">
      <c r="A130" t="s">
        <v>4087</v>
      </c>
      <c r="B130" s="423" t="str">
        <f t="shared" si="5"/>
        <v>Starting year</v>
      </c>
      <c r="C130" t="s">
        <v>3055</v>
      </c>
      <c r="D130" s="470" t="s">
        <v>8144</v>
      </c>
      <c r="E130" s="470" t="s">
        <v>8608</v>
      </c>
      <c r="F130" s="471" t="s">
        <v>7673</v>
      </c>
      <c r="G130" t="s">
        <v>9180</v>
      </c>
      <c r="H130" s="89" t="s">
        <v>6882</v>
      </c>
      <c r="I130" s="89" t="s">
        <v>5925</v>
      </c>
      <c r="J130" s="89" t="s">
        <v>7243</v>
      </c>
      <c r="K130" s="456" t="s">
        <v>5727</v>
      </c>
    </row>
    <row r="131" spans="1:11" x14ac:dyDescent="0.3">
      <c r="A131" t="s">
        <v>4088</v>
      </c>
      <c r="B131" s="423" t="str">
        <f t="shared" si="5"/>
        <v>Starting month</v>
      </c>
      <c r="C131" t="s">
        <v>3056</v>
      </c>
      <c r="D131" s="470" t="s">
        <v>8145</v>
      </c>
      <c r="E131" s="470" t="s">
        <v>8609</v>
      </c>
      <c r="F131" s="471" t="s">
        <v>7674</v>
      </c>
      <c r="G131" t="s">
        <v>9181</v>
      </c>
      <c r="H131" s="89" t="s">
        <v>6883</v>
      </c>
      <c r="I131" s="89" t="s">
        <v>6200</v>
      </c>
      <c r="J131" s="89" t="s">
        <v>7244</v>
      </c>
      <c r="K131" s="456" t="s">
        <v>5728</v>
      </c>
    </row>
    <row r="132" spans="1:11" x14ac:dyDescent="0.3">
      <c r="A132" t="s">
        <v>4089</v>
      </c>
      <c r="B132" s="423" t="str">
        <f t="shared" ref="B132:B195" si="6">INDEX(C132:K132,MATCH(template_selected_display_language,$C$3:$K$3,0))</f>
        <v>Starting day</v>
      </c>
      <c r="C132" t="s">
        <v>3057</v>
      </c>
      <c r="D132" s="470" t="s">
        <v>8146</v>
      </c>
      <c r="E132" s="470" t="s">
        <v>8610</v>
      </c>
      <c r="F132" s="471" t="s">
        <v>7675</v>
      </c>
      <c r="G132" t="s">
        <v>9182</v>
      </c>
      <c r="H132" s="89" t="s">
        <v>6884</v>
      </c>
      <c r="I132" s="89" t="s">
        <v>6201</v>
      </c>
      <c r="J132" s="89" t="s">
        <v>5841</v>
      </c>
      <c r="K132" s="456" t="s">
        <v>5729</v>
      </c>
    </row>
    <row r="133" spans="1:11" x14ac:dyDescent="0.3">
      <c r="A133" t="s">
        <v>4090</v>
      </c>
      <c r="B133" s="423" t="str">
        <f t="shared" si="6"/>
        <v>Reporting period start date (yyyy-mm-dd)</v>
      </c>
      <c r="C133" t="s">
        <v>4061</v>
      </c>
      <c r="D133" s="470" t="s">
        <v>8147</v>
      </c>
      <c r="E133" s="470" t="s">
        <v>8611</v>
      </c>
      <c r="F133" s="471" t="s">
        <v>7676</v>
      </c>
      <c r="G133" t="s">
        <v>9183</v>
      </c>
      <c r="H133" s="89" t="s">
        <v>6885</v>
      </c>
      <c r="I133" s="89" t="s">
        <v>5926</v>
      </c>
      <c r="J133" s="89" t="s">
        <v>5842</v>
      </c>
      <c r="K133" s="456" t="s">
        <v>6574</v>
      </c>
    </row>
    <row r="134" spans="1:11" ht="28.8" x14ac:dyDescent="0.3">
      <c r="A134" t="s">
        <v>4091</v>
      </c>
      <c r="B134" s="423" t="str">
        <f t="shared" si="6"/>
        <v>Ending year</v>
      </c>
      <c r="C134" t="s">
        <v>3058</v>
      </c>
      <c r="D134" s="470" t="s">
        <v>8148</v>
      </c>
      <c r="E134" s="470" t="s">
        <v>8612</v>
      </c>
      <c r="F134" s="471" t="s">
        <v>7677</v>
      </c>
      <c r="G134" t="s">
        <v>9184</v>
      </c>
      <c r="H134" s="89" t="s">
        <v>6886</v>
      </c>
      <c r="I134" s="89" t="s">
        <v>6202</v>
      </c>
      <c r="J134" s="89" t="s">
        <v>7245</v>
      </c>
      <c r="K134" s="456" t="s">
        <v>5730</v>
      </c>
    </row>
    <row r="135" spans="1:11" ht="28.8" x14ac:dyDescent="0.3">
      <c r="A135" t="s">
        <v>4092</v>
      </c>
      <c r="B135" s="423" t="str">
        <f t="shared" si="6"/>
        <v>Ending month</v>
      </c>
      <c r="C135" t="s">
        <v>3059</v>
      </c>
      <c r="D135" s="470" t="s">
        <v>8149</v>
      </c>
      <c r="E135" s="470" t="s">
        <v>8613</v>
      </c>
      <c r="F135" s="471" t="s">
        <v>7678</v>
      </c>
      <c r="G135" t="s">
        <v>9185</v>
      </c>
      <c r="H135" s="89" t="s">
        <v>6887</v>
      </c>
      <c r="I135" s="89" t="s">
        <v>6203</v>
      </c>
      <c r="J135" s="89" t="s">
        <v>5843</v>
      </c>
      <c r="K135" s="456" t="s">
        <v>5731</v>
      </c>
    </row>
    <row r="136" spans="1:11" x14ac:dyDescent="0.3">
      <c r="A136" t="s">
        <v>4093</v>
      </c>
      <c r="B136" s="423" t="str">
        <f t="shared" si="6"/>
        <v>Ending day</v>
      </c>
      <c r="C136" t="s">
        <v>3060</v>
      </c>
      <c r="D136" s="470" t="s">
        <v>8150</v>
      </c>
      <c r="E136" s="470" t="s">
        <v>8614</v>
      </c>
      <c r="F136" s="471" t="s">
        <v>7679</v>
      </c>
      <c r="G136" t="s">
        <v>9186</v>
      </c>
      <c r="H136" s="89" t="s">
        <v>6888</v>
      </c>
      <c r="I136" s="89" t="s">
        <v>6204</v>
      </c>
      <c r="J136" s="89" t="s">
        <v>5844</v>
      </c>
      <c r="K136" s="456" t="s">
        <v>6575</v>
      </c>
    </row>
    <row r="137" spans="1:11" s="12" customFormat="1" ht="15" thickBot="1" x14ac:dyDescent="0.35">
      <c r="A137" s="12" t="s">
        <v>4094</v>
      </c>
      <c r="B137" s="457" t="str">
        <f t="shared" si="6"/>
        <v>Reporting period end date  (yyyy-mm-dd)</v>
      </c>
      <c r="C137" s="12" t="s">
        <v>4062</v>
      </c>
      <c r="D137" s="478" t="s">
        <v>8151</v>
      </c>
      <c r="E137" s="478" t="s">
        <v>8615</v>
      </c>
      <c r="F137" s="472" t="s">
        <v>7680</v>
      </c>
      <c r="G137" s="12" t="s">
        <v>9187</v>
      </c>
      <c r="H137" s="424" t="s">
        <v>6889</v>
      </c>
      <c r="I137" s="424" t="s">
        <v>5927</v>
      </c>
      <c r="J137" s="424" t="s">
        <v>7246</v>
      </c>
      <c r="K137" s="476" t="s">
        <v>6576</v>
      </c>
    </row>
    <row r="138" spans="1:11" x14ac:dyDescent="0.3">
      <c r="A138" t="s">
        <v>4072</v>
      </c>
      <c r="B138" s="423" t="str">
        <f t="shared" si="6"/>
        <v>Information on previous reporting period</v>
      </c>
      <c r="C138" t="s">
        <v>2921</v>
      </c>
      <c r="D138" s="470" t="s">
        <v>8152</v>
      </c>
      <c r="E138" s="470" t="s">
        <v>8616</v>
      </c>
      <c r="F138" s="471" t="s">
        <v>7681</v>
      </c>
      <c r="G138" t="s">
        <v>9188</v>
      </c>
      <c r="H138" s="89" t="s">
        <v>6053</v>
      </c>
      <c r="I138" s="89" t="s">
        <v>6205</v>
      </c>
      <c r="J138" s="89" t="s">
        <v>7247</v>
      </c>
      <c r="K138" s="456" t="s">
        <v>6545</v>
      </c>
    </row>
    <row r="139" spans="1:11" ht="43.2" x14ac:dyDescent="0.3">
      <c r="A139" t="s">
        <v>4073</v>
      </c>
      <c r="B139" s="423" t="str">
        <f t="shared" si="6"/>
        <v>This report contains disclosures from the previous reporting period that remain unchanged</v>
      </c>
      <c r="C139" t="s">
        <v>2</v>
      </c>
      <c r="D139" s="470" t="s">
        <v>8153</v>
      </c>
      <c r="E139" s="470" t="s">
        <v>8617</v>
      </c>
      <c r="F139" s="471" t="s">
        <v>7682</v>
      </c>
      <c r="G139" t="s">
        <v>9189</v>
      </c>
      <c r="H139" s="89" t="s">
        <v>6890</v>
      </c>
      <c r="I139" s="89" t="s">
        <v>6206</v>
      </c>
      <c r="J139" s="89" t="s">
        <v>7248</v>
      </c>
      <c r="K139" s="456" t="s">
        <v>6577</v>
      </c>
    </row>
    <row r="140" spans="1:11" ht="28.8" x14ac:dyDescent="0.3">
      <c r="A140" t="s">
        <v>4074</v>
      </c>
      <c r="B140" s="423" t="str">
        <f t="shared" si="6"/>
        <v>List of disclosures for which no changes are reported compared to the previous period reporting</v>
      </c>
      <c r="C140" t="s">
        <v>3951</v>
      </c>
      <c r="D140" s="470" t="s">
        <v>8154</v>
      </c>
      <c r="E140" s="470" t="s">
        <v>8618</v>
      </c>
      <c r="F140" s="471" t="s">
        <v>7683</v>
      </c>
      <c r="G140" t="s">
        <v>9190</v>
      </c>
      <c r="H140" s="89" t="s">
        <v>6891</v>
      </c>
      <c r="I140" s="89" t="s">
        <v>6207</v>
      </c>
      <c r="J140" s="89" t="s">
        <v>7249</v>
      </c>
      <c r="K140" s="456" t="s">
        <v>6578</v>
      </c>
    </row>
    <row r="141" spans="1:11" s="12" customFormat="1" ht="29.4" thickBot="1" x14ac:dyDescent="0.35">
      <c r="A141" s="12" t="s">
        <v>4075</v>
      </c>
      <c r="B141" s="457" t="str">
        <f t="shared" si="6"/>
        <v>Link to previous report containing disclosures that remain unchanged</v>
      </c>
      <c r="C141" s="12" t="s">
        <v>2900</v>
      </c>
      <c r="D141" s="478" t="s">
        <v>8155</v>
      </c>
      <c r="E141" s="478" t="s">
        <v>8619</v>
      </c>
      <c r="F141" s="472" t="s">
        <v>7684</v>
      </c>
      <c r="G141" s="12" t="s">
        <v>9191</v>
      </c>
      <c r="H141" s="424" t="s">
        <v>6892</v>
      </c>
      <c r="I141" s="424" t="s">
        <v>6208</v>
      </c>
      <c r="J141" s="424" t="s">
        <v>7250</v>
      </c>
      <c r="K141" s="476" t="s">
        <v>5732</v>
      </c>
    </row>
    <row r="142" spans="1:11" ht="28.8" x14ac:dyDescent="0.3">
      <c r="A142" t="s">
        <v>4076</v>
      </c>
      <c r="B142" s="423" t="str">
        <f t="shared" si="6"/>
        <v>B1 - Basis for Preparation and other undertaking's general information</v>
      </c>
      <c r="C142" t="s">
        <v>3952</v>
      </c>
      <c r="D142" s="470" t="s">
        <v>8156</v>
      </c>
      <c r="E142" s="470" t="s">
        <v>8620</v>
      </c>
      <c r="F142" s="471" t="s">
        <v>7685</v>
      </c>
      <c r="G142" t="s">
        <v>9192</v>
      </c>
      <c r="H142" s="89" t="s">
        <v>6893</v>
      </c>
      <c r="I142" s="89" t="s">
        <v>6209</v>
      </c>
      <c r="J142" s="89" t="s">
        <v>7279</v>
      </c>
      <c r="K142" s="456" t="s">
        <v>6579</v>
      </c>
    </row>
    <row r="143" spans="1:11" ht="28.8" x14ac:dyDescent="0.3">
      <c r="A143" t="s">
        <v>4095</v>
      </c>
      <c r="B143" s="423" t="str">
        <f t="shared" si="6"/>
        <v>Basis for preparation (Basic Module Only or Basic &amp; Comprehensive Module)</v>
      </c>
      <c r="C143" t="s">
        <v>3046</v>
      </c>
      <c r="D143" s="470" t="s">
        <v>8157</v>
      </c>
      <c r="E143" s="470" t="s">
        <v>8621</v>
      </c>
      <c r="F143" s="471" t="s">
        <v>7686</v>
      </c>
      <c r="G143" t="s">
        <v>9193</v>
      </c>
      <c r="H143" s="89" t="s">
        <v>6894</v>
      </c>
      <c r="I143" s="89" t="s">
        <v>6210</v>
      </c>
      <c r="J143" s="89" t="s">
        <v>7251</v>
      </c>
      <c r="K143" s="456" t="s">
        <v>6580</v>
      </c>
    </row>
    <row r="144" spans="1:11" ht="28.8" x14ac:dyDescent="0.3">
      <c r="A144" t="s">
        <v>4096</v>
      </c>
      <c r="B144" s="423" t="str">
        <f t="shared" si="6"/>
        <v>List of omitted disclosures deemed to be classified or sensitive information</v>
      </c>
      <c r="C144" t="s">
        <v>3953</v>
      </c>
      <c r="D144" s="470" t="s">
        <v>8158</v>
      </c>
      <c r="E144" s="470" t="s">
        <v>8622</v>
      </c>
      <c r="F144" s="471" t="s">
        <v>7687</v>
      </c>
      <c r="G144" t="s">
        <v>9194</v>
      </c>
      <c r="H144" s="89" t="s">
        <v>6895</v>
      </c>
      <c r="I144" s="89" t="s">
        <v>6211</v>
      </c>
      <c r="J144" s="89" t="s">
        <v>7252</v>
      </c>
      <c r="K144" s="456" t="s">
        <v>6581</v>
      </c>
    </row>
    <row r="145" spans="1:11" ht="28.8" x14ac:dyDescent="0.3">
      <c r="A145" t="s">
        <v>4097</v>
      </c>
      <c r="B145" s="423" t="str">
        <f t="shared" si="6"/>
        <v>Basis for reporting (consolidated or individual basis)</v>
      </c>
      <c r="C145" t="s">
        <v>3093</v>
      </c>
      <c r="D145" s="470" t="s">
        <v>8159</v>
      </c>
      <c r="E145" s="470" t="s">
        <v>8623</v>
      </c>
      <c r="F145" s="471" t="s">
        <v>7688</v>
      </c>
      <c r="G145" t="s">
        <v>9195</v>
      </c>
      <c r="H145" s="89" t="s">
        <v>6896</v>
      </c>
      <c r="I145" s="89" t="s">
        <v>6212</v>
      </c>
      <c r="J145" s="89" t="s">
        <v>7253</v>
      </c>
      <c r="K145" s="456" t="s">
        <v>5733</v>
      </c>
    </row>
    <row r="146" spans="1:11" x14ac:dyDescent="0.3">
      <c r="A146" t="s">
        <v>4098</v>
      </c>
      <c r="B146" s="423" t="str">
        <f t="shared" si="6"/>
        <v>Undertakings legal form</v>
      </c>
      <c r="C146" t="s">
        <v>3</v>
      </c>
      <c r="D146" s="470" t="s">
        <v>8160</v>
      </c>
      <c r="E146" s="470" t="s">
        <v>8624</v>
      </c>
      <c r="F146" s="471" t="s">
        <v>7689</v>
      </c>
      <c r="G146" t="s">
        <v>9196</v>
      </c>
      <c r="H146" s="89" t="s">
        <v>6897</v>
      </c>
      <c r="I146" s="89" t="s">
        <v>6213</v>
      </c>
      <c r="J146" s="89" t="s">
        <v>7254</v>
      </c>
      <c r="K146" s="456" t="s">
        <v>6582</v>
      </c>
    </row>
    <row r="147" spans="1:11" x14ac:dyDescent="0.3">
      <c r="A147" t="s">
        <v>4099</v>
      </c>
      <c r="B147" s="423" t="str">
        <f t="shared" si="6"/>
        <v>Other undertaking's legal form specification</v>
      </c>
      <c r="C147" t="s">
        <v>3049</v>
      </c>
      <c r="D147" s="470" t="s">
        <v>8161</v>
      </c>
      <c r="E147" s="470" t="s">
        <v>8625</v>
      </c>
      <c r="F147" s="471" t="s">
        <v>7690</v>
      </c>
      <c r="G147" t="s">
        <v>9197</v>
      </c>
      <c r="H147" s="89" t="s">
        <v>6001</v>
      </c>
      <c r="I147" s="89" t="s">
        <v>6214</v>
      </c>
      <c r="J147" s="89" t="s">
        <v>7255</v>
      </c>
      <c r="K147" s="456" t="s">
        <v>5734</v>
      </c>
    </row>
    <row r="148" spans="1:11" x14ac:dyDescent="0.3">
      <c r="A148" t="s">
        <v>4100</v>
      </c>
      <c r="B148" s="423" t="str">
        <f t="shared" si="6"/>
        <v>NACE sector classification code(s)</v>
      </c>
      <c r="C148" t="s">
        <v>2758</v>
      </c>
      <c r="D148" s="470" t="s">
        <v>8162</v>
      </c>
      <c r="E148" s="479" t="s">
        <v>8626</v>
      </c>
      <c r="F148" s="471" t="s">
        <v>7691</v>
      </c>
      <c r="G148" t="s">
        <v>9198</v>
      </c>
      <c r="H148" s="89" t="s">
        <v>6898</v>
      </c>
      <c r="I148" s="89" t="s">
        <v>6215</v>
      </c>
      <c r="J148" s="89" t="s">
        <v>7256</v>
      </c>
      <c r="K148" s="456" t="s">
        <v>6583</v>
      </c>
    </row>
    <row r="149" spans="1:11" x14ac:dyDescent="0.3">
      <c r="A149" t="s">
        <v>4101</v>
      </c>
      <c r="B149" s="423" t="str">
        <f t="shared" si="6"/>
        <v>Size of balance sheet (total assets) in</v>
      </c>
      <c r="C149" t="s">
        <v>5669</v>
      </c>
      <c r="D149" s="470" t="s">
        <v>8163</v>
      </c>
      <c r="E149" s="479" t="s">
        <v>8627</v>
      </c>
      <c r="F149" s="471" t="s">
        <v>7692</v>
      </c>
      <c r="G149" t="s">
        <v>9199</v>
      </c>
      <c r="H149" s="89" t="s">
        <v>6899</v>
      </c>
      <c r="I149" s="89" t="s">
        <v>6216</v>
      </c>
      <c r="J149" s="89" t="s">
        <v>7257</v>
      </c>
      <c r="K149" s="456" t="s">
        <v>6584</v>
      </c>
    </row>
    <row r="150" spans="1:11" x14ac:dyDescent="0.3">
      <c r="A150" t="s">
        <v>4102</v>
      </c>
      <c r="B150" s="423" t="str">
        <f t="shared" si="6"/>
        <v>Turnover in</v>
      </c>
      <c r="C150" t="s">
        <v>3954</v>
      </c>
      <c r="D150" s="470" t="s">
        <v>8164</v>
      </c>
      <c r="E150" s="470" t="s">
        <v>8628</v>
      </c>
      <c r="F150" s="471" t="s">
        <v>7693</v>
      </c>
      <c r="G150" t="s">
        <v>9200</v>
      </c>
      <c r="H150" s="89" t="s">
        <v>6900</v>
      </c>
      <c r="I150" s="89" t="s">
        <v>6217</v>
      </c>
      <c r="J150" s="89" t="s">
        <v>5845</v>
      </c>
      <c r="K150" s="456" t="s">
        <v>5735</v>
      </c>
    </row>
    <row r="151" spans="1:11" x14ac:dyDescent="0.3">
      <c r="A151" t="s">
        <v>4103</v>
      </c>
      <c r="B151" s="423" t="str">
        <f t="shared" si="6"/>
        <v>Number of employees</v>
      </c>
      <c r="C151" t="s">
        <v>4</v>
      </c>
      <c r="D151" s="470" t="s">
        <v>8165</v>
      </c>
      <c r="E151" s="470" t="s">
        <v>8629</v>
      </c>
      <c r="F151" s="471" t="s">
        <v>7694</v>
      </c>
      <c r="G151" t="s">
        <v>9201</v>
      </c>
      <c r="H151" s="89" t="s">
        <v>6054</v>
      </c>
      <c r="I151" s="89" t="s">
        <v>6218</v>
      </c>
      <c r="J151" s="89" t="s">
        <v>7258</v>
      </c>
      <c r="K151" s="456" t="s">
        <v>6585</v>
      </c>
    </row>
    <row r="152" spans="1:11" ht="43.2" x14ac:dyDescent="0.3">
      <c r="A152" t="s">
        <v>4104</v>
      </c>
      <c r="B152" s="423" t="str">
        <f t="shared" si="6"/>
        <v>Employee counting methodology (At the end of reporting period or as an average during the reporting period)</v>
      </c>
      <c r="C152" t="s">
        <v>3097</v>
      </c>
      <c r="D152" s="470" t="s">
        <v>8166</v>
      </c>
      <c r="E152" s="470" t="s">
        <v>8630</v>
      </c>
      <c r="F152" s="471" t="s">
        <v>7695</v>
      </c>
      <c r="G152" t="s">
        <v>9202</v>
      </c>
      <c r="H152" s="89" t="s">
        <v>6901</v>
      </c>
      <c r="I152" s="89" t="s">
        <v>6219</v>
      </c>
      <c r="J152" s="89" t="s">
        <v>7259</v>
      </c>
      <c r="K152" s="456" t="s">
        <v>6504</v>
      </c>
    </row>
    <row r="153" spans="1:11" ht="28.8" x14ac:dyDescent="0.3">
      <c r="A153" t="s">
        <v>4105</v>
      </c>
      <c r="B153" s="423" t="str">
        <f t="shared" si="6"/>
        <v>Employee counting methodology (Headcount or Full-time equivalent)</v>
      </c>
      <c r="C153" t="s">
        <v>3098</v>
      </c>
      <c r="D153" s="470" t="s">
        <v>8167</v>
      </c>
      <c r="E153" s="470" t="s">
        <v>8631</v>
      </c>
      <c r="F153" s="471" t="s">
        <v>7696</v>
      </c>
      <c r="G153" t="s">
        <v>9203</v>
      </c>
      <c r="H153" s="89" t="s">
        <v>6902</v>
      </c>
      <c r="I153" s="89" t="s">
        <v>6220</v>
      </c>
      <c r="J153" s="89" t="s">
        <v>7260</v>
      </c>
      <c r="K153" s="456" t="s">
        <v>6505</v>
      </c>
    </row>
    <row r="154" spans="1:11" s="12" customFormat="1" ht="29.4" thickBot="1" x14ac:dyDescent="0.35">
      <c r="A154" s="12" t="s">
        <v>4106</v>
      </c>
      <c r="B154" s="457" t="str">
        <f t="shared" si="6"/>
        <v>Country of primary operations and location of significant asset(s)</v>
      </c>
      <c r="C154" s="12" t="s">
        <v>5</v>
      </c>
      <c r="D154" s="478" t="s">
        <v>8168</v>
      </c>
      <c r="E154" s="478" t="s">
        <v>8632</v>
      </c>
      <c r="F154" s="472" t="s">
        <v>7697</v>
      </c>
      <c r="G154" s="12" t="s">
        <v>9204</v>
      </c>
      <c r="H154" s="424" t="s">
        <v>6903</v>
      </c>
      <c r="I154" s="424" t="s">
        <v>6221</v>
      </c>
      <c r="J154" s="424" t="s">
        <v>7261</v>
      </c>
      <c r="K154" s="476" t="s">
        <v>6586</v>
      </c>
    </row>
    <row r="155" spans="1:11" x14ac:dyDescent="0.3">
      <c r="A155" t="s">
        <v>4107</v>
      </c>
      <c r="B155" s="423" t="str">
        <f t="shared" si="6"/>
        <v>B1 - List of subsidiaries</v>
      </c>
      <c r="C155" t="s">
        <v>4359</v>
      </c>
      <c r="D155" s="470" t="s">
        <v>8169</v>
      </c>
      <c r="E155" s="470" t="s">
        <v>8633</v>
      </c>
      <c r="F155" s="471" t="s">
        <v>7698</v>
      </c>
      <c r="G155" t="s">
        <v>9205</v>
      </c>
      <c r="H155" s="89" t="s">
        <v>6904</v>
      </c>
      <c r="I155" s="89" t="s">
        <v>6222</v>
      </c>
      <c r="J155" s="89" t="s">
        <v>5846</v>
      </c>
      <c r="K155" s="456" t="s">
        <v>5736</v>
      </c>
    </row>
    <row r="156" spans="1:11" x14ac:dyDescent="0.3">
      <c r="A156" t="s">
        <v>4108</v>
      </c>
      <c r="B156" s="423" t="str">
        <f t="shared" si="6"/>
        <v>ID</v>
      </c>
      <c r="C156" t="s">
        <v>6</v>
      </c>
      <c r="D156" s="470" t="s">
        <v>6</v>
      </c>
      <c r="E156" s="470" t="s">
        <v>6</v>
      </c>
      <c r="F156" s="471" t="s">
        <v>7699</v>
      </c>
      <c r="G156" t="s">
        <v>6</v>
      </c>
      <c r="H156" s="89" t="s">
        <v>6</v>
      </c>
      <c r="I156" s="89" t="s">
        <v>6</v>
      </c>
      <c r="J156" s="89" t="s">
        <v>6</v>
      </c>
      <c r="K156" s="456" t="s">
        <v>6</v>
      </c>
    </row>
    <row r="157" spans="1:11" x14ac:dyDescent="0.3">
      <c r="A157" t="s">
        <v>4109</v>
      </c>
      <c r="B157" s="423" t="str">
        <f t="shared" si="6"/>
        <v>Name</v>
      </c>
      <c r="C157" t="s">
        <v>7</v>
      </c>
      <c r="D157" s="470" t="s">
        <v>8170</v>
      </c>
      <c r="E157" s="470" t="s">
        <v>8634</v>
      </c>
      <c r="F157" s="471" t="s">
        <v>7</v>
      </c>
      <c r="G157" t="s">
        <v>5696</v>
      </c>
      <c r="H157" s="89" t="s">
        <v>6905</v>
      </c>
      <c r="I157" s="89" t="s">
        <v>6069</v>
      </c>
      <c r="J157" s="89" t="s">
        <v>5696</v>
      </c>
      <c r="K157" s="456" t="s">
        <v>5737</v>
      </c>
    </row>
    <row r="158" spans="1:11" s="12" customFormat="1" ht="29.4" thickBot="1" x14ac:dyDescent="0.35">
      <c r="A158" s="12" t="s">
        <v>4110</v>
      </c>
      <c r="B158" s="457" t="str">
        <f t="shared" si="6"/>
        <v>Registered Address</v>
      </c>
      <c r="C158" s="12" t="s">
        <v>3018</v>
      </c>
      <c r="D158" s="478" t="s">
        <v>8171</v>
      </c>
      <c r="E158" s="478" t="s">
        <v>8635</v>
      </c>
      <c r="F158" s="472" t="s">
        <v>7700</v>
      </c>
      <c r="G158" s="12" t="s">
        <v>9206</v>
      </c>
      <c r="H158" s="424" t="s">
        <v>6002</v>
      </c>
      <c r="I158" s="424" t="s">
        <v>6070</v>
      </c>
      <c r="J158" s="424" t="s">
        <v>7262</v>
      </c>
      <c r="K158" s="476" t="s">
        <v>6587</v>
      </c>
    </row>
    <row r="159" spans="1:11" ht="28.8" x14ac:dyDescent="0.3">
      <c r="A159" t="s">
        <v>4111</v>
      </c>
      <c r="B159" s="423" t="str">
        <f t="shared" si="6"/>
        <v>B1 - Disclosure of sustainability-related certification(s) or label(s)</v>
      </c>
      <c r="C159" t="s">
        <v>4360</v>
      </c>
      <c r="D159" s="470" t="s">
        <v>8172</v>
      </c>
      <c r="E159" s="470" t="s">
        <v>8636</v>
      </c>
      <c r="F159" s="471" t="s">
        <v>7701</v>
      </c>
      <c r="G159" t="s">
        <v>9207</v>
      </c>
      <c r="H159" s="89" t="s">
        <v>6906</v>
      </c>
      <c r="I159" s="89" t="s">
        <v>6223</v>
      </c>
      <c r="J159" s="89" t="s">
        <v>7263</v>
      </c>
      <c r="K159" s="456" t="s">
        <v>6588</v>
      </c>
    </row>
    <row r="160" spans="1:11" ht="28.8" x14ac:dyDescent="0.3">
      <c r="A160" t="s">
        <v>4112</v>
      </c>
      <c r="B160" s="423" t="str">
        <f t="shared" si="6"/>
        <v>Has the undertaking obtained any sustainability-related certification(s) or label(s) ?</v>
      </c>
      <c r="C160" t="s">
        <v>3092</v>
      </c>
      <c r="D160" s="470" t="s">
        <v>8173</v>
      </c>
      <c r="E160" s="470" t="s">
        <v>8637</v>
      </c>
      <c r="F160" s="471" t="s">
        <v>7702</v>
      </c>
      <c r="G160" t="s">
        <v>9208</v>
      </c>
      <c r="H160" s="89" t="s">
        <v>6907</v>
      </c>
      <c r="I160" s="89" t="s">
        <v>6224</v>
      </c>
      <c r="J160" s="89" t="s">
        <v>7264</v>
      </c>
      <c r="K160" s="456" t="s">
        <v>5738</v>
      </c>
    </row>
    <row r="161" spans="1:11" s="12" customFormat="1" ht="58.2" thickBot="1" x14ac:dyDescent="0.35">
      <c r="A161" s="12" t="s">
        <v>4113</v>
      </c>
      <c r="B161" s="457" t="str">
        <f t="shared" si="6"/>
        <v>Description of sustainability-related certification(s) or label(s) including where relevant the issuers of the certification or label date and rating score</v>
      </c>
      <c r="C161" s="12" t="s">
        <v>4030</v>
      </c>
      <c r="D161" s="478" t="s">
        <v>8174</v>
      </c>
      <c r="E161" s="478" t="s">
        <v>8638</v>
      </c>
      <c r="F161" s="472" t="s">
        <v>7703</v>
      </c>
      <c r="G161" s="12" t="s">
        <v>9209</v>
      </c>
      <c r="H161" s="424" t="s">
        <v>6908</v>
      </c>
      <c r="I161" s="424" t="s">
        <v>6225</v>
      </c>
      <c r="J161" s="424" t="s">
        <v>7265</v>
      </c>
      <c r="K161" s="476" t="s">
        <v>6589</v>
      </c>
    </row>
    <row r="162" spans="1:11" ht="28.8" x14ac:dyDescent="0.3">
      <c r="A162" t="s">
        <v>4114</v>
      </c>
      <c r="B162" s="423" t="str">
        <f t="shared" si="6"/>
        <v>B1 - List of site(s)</v>
      </c>
      <c r="C162" t="s">
        <v>4361</v>
      </c>
      <c r="D162" s="470" t="s">
        <v>8175</v>
      </c>
      <c r="E162" s="470" t="s">
        <v>8639</v>
      </c>
      <c r="F162" s="471" t="s">
        <v>7704</v>
      </c>
      <c r="G162" t="s">
        <v>9210</v>
      </c>
      <c r="H162" s="89" t="s">
        <v>6909</v>
      </c>
      <c r="I162" s="89" t="s">
        <v>6226</v>
      </c>
      <c r="J162" s="89" t="s">
        <v>7266</v>
      </c>
      <c r="K162" s="456" t="s">
        <v>6590</v>
      </c>
    </row>
    <row r="163" spans="1:11" x14ac:dyDescent="0.3">
      <c r="A163" t="s">
        <v>4115</v>
      </c>
      <c r="B163" s="423" t="str">
        <f t="shared" si="6"/>
        <v>Address</v>
      </c>
      <c r="C163" t="s">
        <v>8</v>
      </c>
      <c r="D163" s="470" t="s">
        <v>7705</v>
      </c>
      <c r="E163" s="470" t="s">
        <v>7705</v>
      </c>
      <c r="F163" s="471" t="s">
        <v>7705</v>
      </c>
      <c r="G163" t="s">
        <v>9211</v>
      </c>
      <c r="H163" s="89" t="s">
        <v>6003</v>
      </c>
      <c r="I163" s="89" t="s">
        <v>5692</v>
      </c>
      <c r="J163" s="89" t="s">
        <v>7267</v>
      </c>
      <c r="K163" s="456" t="s">
        <v>5739</v>
      </c>
    </row>
    <row r="164" spans="1:11" x14ac:dyDescent="0.3">
      <c r="A164" t="s">
        <v>4116</v>
      </c>
      <c r="B164" s="423" t="str">
        <f t="shared" si="6"/>
        <v>Postal code</v>
      </c>
      <c r="C164" t="s">
        <v>9</v>
      </c>
      <c r="D164" s="470" t="s">
        <v>8176</v>
      </c>
      <c r="E164" s="470" t="s">
        <v>8640</v>
      </c>
      <c r="F164" s="471" t="s">
        <v>7706</v>
      </c>
      <c r="G164" t="s">
        <v>9212</v>
      </c>
      <c r="H164" s="89" t="s">
        <v>6004</v>
      </c>
      <c r="I164" s="89" t="s">
        <v>5928</v>
      </c>
      <c r="J164" s="89" t="s">
        <v>5740</v>
      </c>
      <c r="K164" s="456" t="s">
        <v>5740</v>
      </c>
    </row>
    <row r="165" spans="1:11" ht="43.2" x14ac:dyDescent="0.3">
      <c r="A165" t="s">
        <v>4117</v>
      </c>
      <c r="B165" s="423" t="str">
        <f t="shared" si="6"/>
        <v>City</v>
      </c>
      <c r="C165" t="s">
        <v>10</v>
      </c>
      <c r="D165" s="470" t="s">
        <v>8177</v>
      </c>
      <c r="E165" s="470" t="s">
        <v>8641</v>
      </c>
      <c r="F165" s="471" t="s">
        <v>7707</v>
      </c>
      <c r="G165" t="s">
        <v>9213</v>
      </c>
      <c r="H165" s="89" t="s">
        <v>6910</v>
      </c>
      <c r="I165" s="89" t="s">
        <v>5929</v>
      </c>
      <c r="J165" s="89" t="s">
        <v>5847</v>
      </c>
      <c r="K165" s="456" t="s">
        <v>5741</v>
      </c>
    </row>
    <row r="166" spans="1:11" x14ac:dyDescent="0.3">
      <c r="A166" t="s">
        <v>4118</v>
      </c>
      <c r="B166" s="423" t="str">
        <f t="shared" si="6"/>
        <v>Country</v>
      </c>
      <c r="C166" t="s">
        <v>11</v>
      </c>
      <c r="D166" s="470" t="s">
        <v>7708</v>
      </c>
      <c r="E166" s="470" t="s">
        <v>8642</v>
      </c>
      <c r="F166" s="471" t="s">
        <v>7708</v>
      </c>
      <c r="G166" t="s">
        <v>9214</v>
      </c>
      <c r="H166" s="89" t="s">
        <v>6911</v>
      </c>
      <c r="I166" s="89" t="s">
        <v>5930</v>
      </c>
      <c r="J166" s="89" t="s">
        <v>5742</v>
      </c>
      <c r="K166" s="456" t="s">
        <v>5742</v>
      </c>
    </row>
    <row r="167" spans="1:11" x14ac:dyDescent="0.3">
      <c r="A167" t="s">
        <v>4119</v>
      </c>
      <c r="B167" s="423" t="str">
        <f t="shared" si="6"/>
        <v>GPS Coordinates (geolocation)</v>
      </c>
      <c r="C167" t="s">
        <v>2920</v>
      </c>
      <c r="D167" s="470" t="s">
        <v>8178</v>
      </c>
      <c r="E167" s="470" t="s">
        <v>8643</v>
      </c>
      <c r="F167" s="471" t="s">
        <v>7709</v>
      </c>
      <c r="G167" t="s">
        <v>9215</v>
      </c>
      <c r="H167" s="89" t="s">
        <v>6912</v>
      </c>
      <c r="I167" s="89" t="s">
        <v>6227</v>
      </c>
      <c r="J167" s="89" t="s">
        <v>5848</v>
      </c>
      <c r="K167" s="456" t="s">
        <v>5743</v>
      </c>
    </row>
    <row r="168" spans="1:11" s="12" customFormat="1" ht="13.95" customHeight="1" thickBot="1" x14ac:dyDescent="0.35">
      <c r="A168" s="12" t="s">
        <v>4120</v>
      </c>
      <c r="B168" s="457" t="str">
        <f t="shared" si="6"/>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68" s="458" t="s">
        <v>4363</v>
      </c>
      <c r="D168" s="478" t="s">
        <v>8179</v>
      </c>
      <c r="E168" s="478" t="s">
        <v>8644</v>
      </c>
      <c r="F168" s="472" t="s">
        <v>7710</v>
      </c>
      <c r="G168" s="12" t="s">
        <v>9216</v>
      </c>
      <c r="H168" s="424" t="s">
        <v>6913</v>
      </c>
      <c r="I168" s="424" t="s">
        <v>6228</v>
      </c>
      <c r="J168" s="424" t="s">
        <v>7268</v>
      </c>
      <c r="K168" s="476" t="s">
        <v>6591</v>
      </c>
    </row>
    <row r="169" spans="1:11" ht="28.8" x14ac:dyDescent="0.3">
      <c r="A169" t="s">
        <v>4121</v>
      </c>
      <c r="B169" s="423" t="str">
        <f t="shared" si="6"/>
        <v>B2 – Practices policies and future initiatives for transitioning towards a more sustainable economy</v>
      </c>
      <c r="C169" t="s">
        <v>4031</v>
      </c>
      <c r="D169" s="470" t="s">
        <v>8180</v>
      </c>
      <c r="E169" s="470" t="s">
        <v>8555</v>
      </c>
      <c r="F169" s="471" t="s">
        <v>7711</v>
      </c>
      <c r="G169" t="s">
        <v>9217</v>
      </c>
      <c r="H169" s="89" t="s">
        <v>6914</v>
      </c>
      <c r="I169" s="89" t="s">
        <v>5931</v>
      </c>
      <c r="J169" s="89" t="s">
        <v>7209</v>
      </c>
      <c r="K169" s="456" t="s">
        <v>5744</v>
      </c>
    </row>
    <row r="170" spans="1:11" ht="43.2" x14ac:dyDescent="0.3">
      <c r="A170" t="s">
        <v>4122</v>
      </c>
      <c r="B170" s="423" t="str">
        <f t="shared" si="6"/>
        <v>Has the undertaking put in place specific practices policies and or future initiatives for transitioning towards a more sustainable economy?</v>
      </c>
      <c r="C170" t="s">
        <v>4053</v>
      </c>
      <c r="D170" s="470" t="s">
        <v>8181</v>
      </c>
      <c r="E170" s="470" t="s">
        <v>8645</v>
      </c>
      <c r="F170" s="471" t="s">
        <v>7712</v>
      </c>
      <c r="G170" t="s">
        <v>9218</v>
      </c>
      <c r="H170" s="89" t="s">
        <v>6915</v>
      </c>
      <c r="I170" s="89" t="s">
        <v>6229</v>
      </c>
      <c r="J170" s="89" t="s">
        <v>7269</v>
      </c>
      <c r="K170" s="456" t="s">
        <v>6592</v>
      </c>
    </row>
    <row r="171" spans="1:11" ht="43.2" x14ac:dyDescent="0.3">
      <c r="A171" t="s">
        <v>4123</v>
      </c>
      <c r="B171" s="423" t="str">
        <f t="shared" si="6"/>
        <v>Sustainability issues addressed by a practice policy and or future initiatives that the undertaking has put in place</v>
      </c>
      <c r="C171" t="s">
        <v>4054</v>
      </c>
      <c r="D171" s="470" t="s">
        <v>8182</v>
      </c>
      <c r="E171" s="470" t="s">
        <v>8646</v>
      </c>
      <c r="F171" s="471" t="s">
        <v>7713</v>
      </c>
      <c r="G171" t="s">
        <v>9219</v>
      </c>
      <c r="H171" s="89" t="s">
        <v>6916</v>
      </c>
      <c r="I171" s="89" t="s">
        <v>6230</v>
      </c>
      <c r="J171" s="89" t="s">
        <v>7270</v>
      </c>
      <c r="K171" s="456" t="s">
        <v>6593</v>
      </c>
    </row>
    <row r="172" spans="1:11" ht="43.2" x14ac:dyDescent="0.3">
      <c r="A172" t="s">
        <v>4124</v>
      </c>
      <c r="B172" s="423" t="str">
        <f t="shared" si="6"/>
        <v>Undertaking has a practice policy and or future initiative that is publicly available</v>
      </c>
      <c r="C172" t="s">
        <v>4029</v>
      </c>
      <c r="D172" s="470" t="s">
        <v>8183</v>
      </c>
      <c r="E172" s="470" t="s">
        <v>8647</v>
      </c>
      <c r="F172" s="471" t="s">
        <v>7714</v>
      </c>
      <c r="G172" t="s">
        <v>9220</v>
      </c>
      <c r="H172" s="89" t="s">
        <v>6917</v>
      </c>
      <c r="I172" s="89" t="s">
        <v>6231</v>
      </c>
      <c r="J172" s="89" t="s">
        <v>7271</v>
      </c>
      <c r="K172" s="456" t="s">
        <v>6594</v>
      </c>
    </row>
    <row r="173" spans="1:11" ht="28.8" x14ac:dyDescent="0.3">
      <c r="A173" t="s">
        <v>4125</v>
      </c>
      <c r="B173" s="423" t="str">
        <f t="shared" si="6"/>
        <v>Undertaking has set a target which is related to a policy</v>
      </c>
      <c r="C173" t="s">
        <v>3571</v>
      </c>
      <c r="D173" s="470" t="s">
        <v>8184</v>
      </c>
      <c r="E173" s="470" t="s">
        <v>8648</v>
      </c>
      <c r="F173" s="471" t="s">
        <v>7715</v>
      </c>
      <c r="G173" t="s">
        <v>9221</v>
      </c>
      <c r="H173" s="89" t="s">
        <v>6918</v>
      </c>
      <c r="I173" s="89" t="s">
        <v>6232</v>
      </c>
      <c r="J173" s="89" t="s">
        <v>7272</v>
      </c>
      <c r="K173" s="456" t="s">
        <v>6595</v>
      </c>
    </row>
    <row r="174" spans="1:11" x14ac:dyDescent="0.3">
      <c r="A174" t="s">
        <v>4126</v>
      </c>
      <c r="B174" s="423" t="str">
        <f t="shared" si="6"/>
        <v>Climate change</v>
      </c>
      <c r="C174" t="s">
        <v>2891</v>
      </c>
      <c r="D174" s="470" t="s">
        <v>8185</v>
      </c>
      <c r="E174" s="470" t="s">
        <v>8649</v>
      </c>
      <c r="F174" s="471" t="s">
        <v>7716</v>
      </c>
      <c r="G174" t="s">
        <v>9222</v>
      </c>
      <c r="H174" s="89" t="s">
        <v>6005</v>
      </c>
      <c r="I174" s="89" t="s">
        <v>6233</v>
      </c>
      <c r="J174" s="89" t="s">
        <v>7273</v>
      </c>
      <c r="K174" s="456" t="s">
        <v>5745</v>
      </c>
    </row>
    <row r="175" spans="1:11" x14ac:dyDescent="0.3">
      <c r="A175" t="s">
        <v>4127</v>
      </c>
      <c r="B175" s="423" t="str">
        <f t="shared" si="6"/>
        <v>Pollution</v>
      </c>
      <c r="C175" t="s">
        <v>2892</v>
      </c>
      <c r="D175" s="470" t="s">
        <v>8186</v>
      </c>
      <c r="E175" s="470" t="s">
        <v>2892</v>
      </c>
      <c r="F175" s="471" t="s">
        <v>7717</v>
      </c>
      <c r="G175" t="s">
        <v>9223</v>
      </c>
      <c r="H175" s="89" t="s">
        <v>6006</v>
      </c>
      <c r="I175" s="89" t="s">
        <v>5932</v>
      </c>
      <c r="J175" s="89" t="s">
        <v>5849</v>
      </c>
      <c r="K175" s="456" t="s">
        <v>5746</v>
      </c>
    </row>
    <row r="176" spans="1:11" x14ac:dyDescent="0.3">
      <c r="A176" t="s">
        <v>4128</v>
      </c>
      <c r="B176" s="423" t="str">
        <f t="shared" si="6"/>
        <v>Water and marine resources</v>
      </c>
      <c r="C176" t="s">
        <v>2893</v>
      </c>
      <c r="D176" s="470" t="s">
        <v>8187</v>
      </c>
      <c r="E176" s="470" t="s">
        <v>8650</v>
      </c>
      <c r="F176" s="471" t="s">
        <v>7718</v>
      </c>
      <c r="G176" t="s">
        <v>9224</v>
      </c>
      <c r="H176" s="89" t="s">
        <v>6007</v>
      </c>
      <c r="I176" s="89" t="s">
        <v>6234</v>
      </c>
      <c r="J176" s="89" t="s">
        <v>7274</v>
      </c>
      <c r="K176" s="456" t="s">
        <v>6596</v>
      </c>
    </row>
    <row r="177" spans="1:11" x14ac:dyDescent="0.3">
      <c r="A177" t="s">
        <v>4129</v>
      </c>
      <c r="B177" s="423" t="str">
        <f t="shared" si="6"/>
        <v>Biodiversity and ecosystems</v>
      </c>
      <c r="C177" t="s">
        <v>2894</v>
      </c>
      <c r="D177" s="470" t="s">
        <v>8188</v>
      </c>
      <c r="E177" s="470" t="s">
        <v>8651</v>
      </c>
      <c r="F177" s="471" t="s">
        <v>7719</v>
      </c>
      <c r="G177" t="s">
        <v>9225</v>
      </c>
      <c r="H177" s="89" t="s">
        <v>6008</v>
      </c>
      <c r="I177" s="89" t="s">
        <v>6235</v>
      </c>
      <c r="J177" s="89" t="s">
        <v>5850</v>
      </c>
      <c r="K177" s="456" t="s">
        <v>6098</v>
      </c>
    </row>
    <row r="178" spans="1:11" x14ac:dyDescent="0.3">
      <c r="A178" t="s">
        <v>4130</v>
      </c>
      <c r="B178" s="423" t="str">
        <f t="shared" si="6"/>
        <v>Circular economy</v>
      </c>
      <c r="C178" t="s">
        <v>2895</v>
      </c>
      <c r="D178" s="470" t="s">
        <v>8189</v>
      </c>
      <c r="E178" s="470" t="s">
        <v>8652</v>
      </c>
      <c r="F178" s="471" t="s">
        <v>7720</v>
      </c>
      <c r="G178" t="s">
        <v>9226</v>
      </c>
      <c r="H178" s="89" t="s">
        <v>6055</v>
      </c>
      <c r="I178" s="89" t="s">
        <v>5933</v>
      </c>
      <c r="J178" s="89" t="s">
        <v>5851</v>
      </c>
      <c r="K178" s="456" t="s">
        <v>5747</v>
      </c>
    </row>
    <row r="179" spans="1:11" x14ac:dyDescent="0.3">
      <c r="A179" t="s">
        <v>4131</v>
      </c>
      <c r="B179" s="423" t="str">
        <f t="shared" si="6"/>
        <v>Own workforce</v>
      </c>
      <c r="C179" t="s">
        <v>2896</v>
      </c>
      <c r="D179" s="470" t="s">
        <v>8190</v>
      </c>
      <c r="E179" s="470" t="s">
        <v>8653</v>
      </c>
      <c r="F179" s="471" t="s">
        <v>7721</v>
      </c>
      <c r="G179" t="s">
        <v>9227</v>
      </c>
      <c r="H179" s="89" t="s">
        <v>6919</v>
      </c>
      <c r="I179" s="89" t="s">
        <v>6236</v>
      </c>
      <c r="J179" s="89" t="s">
        <v>7275</v>
      </c>
      <c r="K179" s="456" t="s">
        <v>6484</v>
      </c>
    </row>
    <row r="180" spans="1:11" x14ac:dyDescent="0.3">
      <c r="A180" t="s">
        <v>4132</v>
      </c>
      <c r="B180" s="423" t="str">
        <f t="shared" si="6"/>
        <v>Workers in the value chain</v>
      </c>
      <c r="C180" t="s">
        <v>2652</v>
      </c>
      <c r="D180" s="470" t="s">
        <v>8191</v>
      </c>
      <c r="E180" s="470" t="s">
        <v>8654</v>
      </c>
      <c r="F180" s="471" t="s">
        <v>7722</v>
      </c>
      <c r="G180" t="s">
        <v>9228</v>
      </c>
      <c r="H180" s="89" t="s">
        <v>6056</v>
      </c>
      <c r="I180" s="89" t="s">
        <v>6237</v>
      </c>
      <c r="J180" s="89" t="s">
        <v>7280</v>
      </c>
      <c r="K180" s="456" t="s">
        <v>6597</v>
      </c>
    </row>
    <row r="181" spans="1:11" x14ac:dyDescent="0.3">
      <c r="A181" t="s">
        <v>4133</v>
      </c>
      <c r="B181" s="423" t="str">
        <f t="shared" si="6"/>
        <v>Affected communities</v>
      </c>
      <c r="C181" t="s">
        <v>2897</v>
      </c>
      <c r="D181" s="470" t="s">
        <v>8192</v>
      </c>
      <c r="E181" s="470" t="s">
        <v>8655</v>
      </c>
      <c r="F181" s="471" t="s">
        <v>7723</v>
      </c>
      <c r="G181" t="s">
        <v>9229</v>
      </c>
      <c r="H181" s="89" t="s">
        <v>6920</v>
      </c>
      <c r="I181" s="89" t="s">
        <v>6238</v>
      </c>
      <c r="J181" s="89" t="s">
        <v>5852</v>
      </c>
      <c r="K181" s="456" t="s">
        <v>5748</v>
      </c>
    </row>
    <row r="182" spans="1:11" x14ac:dyDescent="0.3">
      <c r="A182" t="s">
        <v>4134</v>
      </c>
      <c r="B182" s="423" t="str">
        <f t="shared" si="6"/>
        <v>Consumers and end-users</v>
      </c>
      <c r="C182" t="s">
        <v>2898</v>
      </c>
      <c r="D182" s="470" t="s">
        <v>8193</v>
      </c>
      <c r="E182" s="470" t="s">
        <v>8656</v>
      </c>
      <c r="F182" s="471" t="s">
        <v>7724</v>
      </c>
      <c r="G182" t="s">
        <v>9230</v>
      </c>
      <c r="H182" s="89" t="s">
        <v>6057</v>
      </c>
      <c r="I182" s="89" t="s">
        <v>5934</v>
      </c>
      <c r="J182" s="89" t="s">
        <v>5853</v>
      </c>
      <c r="K182" s="456" t="s">
        <v>5749</v>
      </c>
    </row>
    <row r="183" spans="1:11" s="12" customFormat="1" ht="15" thickBot="1" x14ac:dyDescent="0.35">
      <c r="A183" s="12" t="s">
        <v>4135</v>
      </c>
      <c r="B183" s="457" t="str">
        <f t="shared" si="6"/>
        <v>Business conduct</v>
      </c>
      <c r="C183" s="12" t="s">
        <v>2889</v>
      </c>
      <c r="D183" s="478" t="s">
        <v>8194</v>
      </c>
      <c r="E183" s="478" t="s">
        <v>8657</v>
      </c>
      <c r="F183" s="472" t="s">
        <v>7725</v>
      </c>
      <c r="G183" s="12" t="s">
        <v>9231</v>
      </c>
      <c r="H183" s="424" t="s">
        <v>6921</v>
      </c>
      <c r="I183" s="424" t="s">
        <v>6239</v>
      </c>
      <c r="J183" s="424" t="s">
        <v>7276</v>
      </c>
      <c r="K183" s="476" t="s">
        <v>5750</v>
      </c>
    </row>
    <row r="184" spans="1:11" x14ac:dyDescent="0.3">
      <c r="A184" t="s">
        <v>4136</v>
      </c>
      <c r="B184" s="423" t="str">
        <f t="shared" si="6"/>
        <v>B2 - Cooperative specific disclosures</v>
      </c>
      <c r="C184" t="s">
        <v>4005</v>
      </c>
      <c r="D184" s="470" t="s">
        <v>8195</v>
      </c>
      <c r="E184" s="456" t="s">
        <v>8658</v>
      </c>
      <c r="F184" s="471" t="s">
        <v>7726</v>
      </c>
      <c r="G184" t="s">
        <v>9232</v>
      </c>
      <c r="H184" s="89" t="s">
        <v>6009</v>
      </c>
      <c r="I184" s="89" t="s">
        <v>5935</v>
      </c>
      <c r="J184" s="89" t="s">
        <v>5854</v>
      </c>
      <c r="K184" s="456" t="s">
        <v>5751</v>
      </c>
    </row>
    <row r="185" spans="1:11" ht="43.2" x14ac:dyDescent="0.3">
      <c r="A185" t="s">
        <v>4137</v>
      </c>
      <c r="B185" s="423" t="str">
        <f t="shared" si="6"/>
        <v>Effective participation of workers users or other interested parties or communities in governance</v>
      </c>
      <c r="C185" t="s">
        <v>4028</v>
      </c>
      <c r="D185" s="470" t="s">
        <v>8196</v>
      </c>
      <c r="E185" s="470" t="s">
        <v>8659</v>
      </c>
      <c r="F185" s="471" t="s">
        <v>7727</v>
      </c>
      <c r="G185" t="s">
        <v>9233</v>
      </c>
      <c r="H185" s="89" t="s">
        <v>6922</v>
      </c>
      <c r="I185" s="89" t="s">
        <v>6240</v>
      </c>
      <c r="J185" s="89" t="s">
        <v>7281</v>
      </c>
      <c r="K185" s="456" t="s">
        <v>6598</v>
      </c>
    </row>
    <row r="186" spans="1:11" ht="57.6" x14ac:dyDescent="0.3">
      <c r="A186" t="s">
        <v>4138</v>
      </c>
      <c r="B186" s="423" t="str">
        <f t="shared" si="6"/>
        <v>Financial investment in the capital or assets of social economy entities referred to in the Council Recommendation of 29 September 2023 (excluding donations and contributions)</v>
      </c>
      <c r="C186" t="s">
        <v>3674</v>
      </c>
      <c r="D186" s="470" t="s">
        <v>8197</v>
      </c>
      <c r="E186" s="470" t="s">
        <v>8660</v>
      </c>
      <c r="F186" s="471" t="s">
        <v>7728</v>
      </c>
      <c r="G186" t="s">
        <v>9234</v>
      </c>
      <c r="H186" s="89" t="s">
        <v>6923</v>
      </c>
      <c r="I186" s="89" t="s">
        <v>6241</v>
      </c>
      <c r="J186" s="89" t="s">
        <v>7282</v>
      </c>
      <c r="K186" s="456" t="s">
        <v>6599</v>
      </c>
    </row>
    <row r="187" spans="1:11" s="12" customFormat="1" ht="58.2" thickBot="1" x14ac:dyDescent="0.35">
      <c r="A187" s="12" t="s">
        <v>4139</v>
      </c>
      <c r="B187" s="457" t="str">
        <f t="shared" si="6"/>
        <v>Any limits to the distribution of profits connected to the mutualistic nature or to the nature of the activities consisting in services of general economic interest (SGEI)</v>
      </c>
      <c r="C187" s="12" t="s">
        <v>4630</v>
      </c>
      <c r="D187" s="478" t="s">
        <v>8198</v>
      </c>
      <c r="E187" s="478" t="s">
        <v>8661</v>
      </c>
      <c r="F187" s="472" t="s">
        <v>7729</v>
      </c>
      <c r="G187" s="12" t="s">
        <v>9235</v>
      </c>
      <c r="H187" s="424" t="s">
        <v>6924</v>
      </c>
      <c r="I187" s="424" t="s">
        <v>6242</v>
      </c>
      <c r="J187" s="424" t="s">
        <v>7283</v>
      </c>
      <c r="K187" s="476" t="s">
        <v>6600</v>
      </c>
    </row>
    <row r="188" spans="1:11" ht="43.2" x14ac:dyDescent="0.3">
      <c r="A188" t="s">
        <v>4140</v>
      </c>
      <c r="B188" s="423" t="str">
        <f t="shared" si="6"/>
        <v>C2 – Description of practices policies and future initiatives for transitioning towards a more sustainable economy</v>
      </c>
      <c r="C188" t="s">
        <v>4032</v>
      </c>
      <c r="D188" s="470" t="s">
        <v>8199</v>
      </c>
      <c r="E188" s="470" t="s">
        <v>8578</v>
      </c>
      <c r="F188" s="471" t="s">
        <v>7730</v>
      </c>
      <c r="G188" t="s">
        <v>9236</v>
      </c>
      <c r="H188" s="89" t="s">
        <v>6925</v>
      </c>
      <c r="I188" s="89" t="s">
        <v>5936</v>
      </c>
      <c r="J188" s="89" t="s">
        <v>7284</v>
      </c>
      <c r="K188" s="456" t="s">
        <v>6559</v>
      </c>
    </row>
    <row r="189" spans="1:11" ht="72" x14ac:dyDescent="0.3">
      <c r="A189" t="s">
        <v>4141</v>
      </c>
      <c r="B189" s="423" t="str">
        <f t="shared" si="6"/>
        <v>Description of a practice policy and or future initiative towards a more sustainable future (In case the practice  policy  future initiative covers suppliers or clients the undertaking shall mention it)</v>
      </c>
      <c r="C189" t="s">
        <v>4055</v>
      </c>
      <c r="D189" s="470" t="s">
        <v>8200</v>
      </c>
      <c r="E189" s="470" t="s">
        <v>8662</v>
      </c>
      <c r="F189" s="471" t="s">
        <v>7731</v>
      </c>
      <c r="G189" t="s">
        <v>9237</v>
      </c>
      <c r="H189" s="89" t="s">
        <v>6926</v>
      </c>
      <c r="I189" s="89" t="s">
        <v>6243</v>
      </c>
      <c r="J189" s="89" t="s">
        <v>7285</v>
      </c>
      <c r="K189" s="456" t="s">
        <v>6601</v>
      </c>
    </row>
    <row r="190" spans="1:11" ht="43.2" x14ac:dyDescent="0.3">
      <c r="A190" t="s">
        <v>4142</v>
      </c>
      <c r="B190" s="423" t="str">
        <f t="shared" si="6"/>
        <v>Description of target related to a policy</v>
      </c>
      <c r="C190" t="s">
        <v>3572</v>
      </c>
      <c r="D190" s="470" t="s">
        <v>8201</v>
      </c>
      <c r="E190" s="470" t="s">
        <v>8663</v>
      </c>
      <c r="F190" s="471" t="s">
        <v>7732</v>
      </c>
      <c r="G190" t="s">
        <v>9238</v>
      </c>
      <c r="H190" s="89" t="s">
        <v>6010</v>
      </c>
      <c r="I190" s="89" t="s">
        <v>6244</v>
      </c>
      <c r="J190" s="89" t="s">
        <v>7286</v>
      </c>
      <c r="K190" s="456" t="s">
        <v>6602</v>
      </c>
    </row>
    <row r="191" spans="1:11" s="12" customFormat="1" ht="43.8" thickBot="1" x14ac:dyDescent="0.35">
      <c r="A191" s="12" t="s">
        <v>4143</v>
      </c>
      <c r="B191" s="457" t="str">
        <f t="shared" si="6"/>
        <v>Most senior level within its employees that is accountable for implementing the policies when this has been determined by the undertaking</v>
      </c>
      <c r="C191" s="12" t="s">
        <v>4615</v>
      </c>
      <c r="D191" s="478" t="s">
        <v>8202</v>
      </c>
      <c r="E191" s="478" t="s">
        <v>8664</v>
      </c>
      <c r="F191" s="472" t="s">
        <v>7733</v>
      </c>
      <c r="G191" s="12" t="s">
        <v>9239</v>
      </c>
      <c r="H191" s="424" t="s">
        <v>6927</v>
      </c>
      <c r="I191" s="424" t="s">
        <v>6245</v>
      </c>
      <c r="J191" s="424" t="s">
        <v>7287</v>
      </c>
      <c r="K191" s="476" t="s">
        <v>6603</v>
      </c>
    </row>
    <row r="192" spans="1:11" ht="28.8" x14ac:dyDescent="0.3">
      <c r="A192" t="s">
        <v>4144</v>
      </c>
      <c r="B192" s="423" t="str">
        <f t="shared" si="6"/>
        <v>C1 – Strategy: Business Model and Sustainability – Related Initiatives</v>
      </c>
      <c r="C192" t="s">
        <v>12</v>
      </c>
      <c r="D192" s="470" t="s">
        <v>8203</v>
      </c>
      <c r="E192" s="470" t="s">
        <v>8665</v>
      </c>
      <c r="F192" s="471" t="s">
        <v>7734</v>
      </c>
      <c r="G192" t="s">
        <v>9240</v>
      </c>
      <c r="H192" s="89" t="s">
        <v>6928</v>
      </c>
      <c r="I192" s="89" t="s">
        <v>6246</v>
      </c>
      <c r="J192" s="89" t="s">
        <v>7288</v>
      </c>
      <c r="K192" s="456" t="s">
        <v>6506</v>
      </c>
    </row>
    <row r="193" spans="1:11" ht="28.8" x14ac:dyDescent="0.3">
      <c r="A193" t="s">
        <v>4145</v>
      </c>
      <c r="B193" s="423" t="str">
        <f t="shared" si="6"/>
        <v>Description of significant groups of products and or services offered</v>
      </c>
      <c r="C193" t="s">
        <v>3992</v>
      </c>
      <c r="D193" s="470" t="s">
        <v>8204</v>
      </c>
      <c r="E193" s="470" t="s">
        <v>8666</v>
      </c>
      <c r="F193" s="471" t="s">
        <v>7735</v>
      </c>
      <c r="G193" t="s">
        <v>9241</v>
      </c>
      <c r="H193" s="89" t="s">
        <v>6929</v>
      </c>
      <c r="I193" s="89" t="s">
        <v>6247</v>
      </c>
      <c r="J193" s="89" t="s">
        <v>7289</v>
      </c>
      <c r="K193" s="456" t="s">
        <v>6485</v>
      </c>
    </row>
    <row r="194" spans="1:11" ht="57.6" x14ac:dyDescent="0.3">
      <c r="A194" t="s">
        <v>4146</v>
      </c>
      <c r="B194" s="423" t="str">
        <f t="shared" si="6"/>
        <v>Description of significant market(s) the undertaking operates in (e.g. B2B, wholesale, retail, countries)</v>
      </c>
      <c r="C194" t="s">
        <v>4631</v>
      </c>
      <c r="D194" s="470" t="s">
        <v>8205</v>
      </c>
      <c r="E194" s="470" t="s">
        <v>8667</v>
      </c>
      <c r="F194" s="471" t="s">
        <v>7736</v>
      </c>
      <c r="G194" t="s">
        <v>9242</v>
      </c>
      <c r="H194" s="89" t="s">
        <v>6930</v>
      </c>
      <c r="I194" s="89" t="s">
        <v>6248</v>
      </c>
      <c r="J194" s="89" t="s">
        <v>7290</v>
      </c>
      <c r="K194" s="456" t="s">
        <v>6604</v>
      </c>
    </row>
    <row r="195" spans="1:11" s="12" customFormat="1" ht="29.4" thickBot="1" x14ac:dyDescent="0.35">
      <c r="A195" s="12" t="s">
        <v>4366</v>
      </c>
      <c r="B195" s="457" t="str">
        <f t="shared" si="6"/>
        <v>Description of main business relationships (such as key suppliers, customers, distribution channels)</v>
      </c>
      <c r="C195" s="12" t="s">
        <v>4614</v>
      </c>
      <c r="D195" s="478" t="s">
        <v>8206</v>
      </c>
      <c r="E195" s="478" t="s">
        <v>8668</v>
      </c>
      <c r="F195" s="472" t="s">
        <v>7737</v>
      </c>
      <c r="G195" s="12" t="s">
        <v>9243</v>
      </c>
      <c r="H195" s="424" t="s">
        <v>6931</v>
      </c>
      <c r="I195" s="424" t="s">
        <v>6249</v>
      </c>
      <c r="J195" s="424" t="s">
        <v>7291</v>
      </c>
      <c r="K195" s="476" t="s">
        <v>6605</v>
      </c>
    </row>
    <row r="196" spans="1:11" ht="43.2" x14ac:dyDescent="0.3">
      <c r="A196" t="s">
        <v>4147</v>
      </c>
      <c r="B196" s="423" t="str">
        <f t="shared" ref="B196:B259" si="7">INDEX(C196:K196,MATCH(template_selected_display_language,$C$3:$K$3,0))</f>
        <v>Has the strategy key elements that relate to or affect sustainability issues?</v>
      </c>
      <c r="C196" t="s">
        <v>3087</v>
      </c>
      <c r="D196" s="470" t="s">
        <v>8207</v>
      </c>
      <c r="E196" s="470" t="s">
        <v>8669</v>
      </c>
      <c r="F196" s="471" t="s">
        <v>7738</v>
      </c>
      <c r="G196" t="s">
        <v>9244</v>
      </c>
      <c r="H196" s="89" t="s">
        <v>6932</v>
      </c>
      <c r="I196" s="89" t="s">
        <v>6250</v>
      </c>
      <c r="J196" s="89" t="s">
        <v>7292</v>
      </c>
      <c r="K196" s="456" t="s">
        <v>6606</v>
      </c>
    </row>
    <row r="197" spans="1:11" ht="28.8" x14ac:dyDescent="0.3">
      <c r="A197" t="s">
        <v>4148</v>
      </c>
      <c r="B197" s="423" t="str">
        <f t="shared" si="7"/>
        <v>Description of those key elements in the strategy that relate or affect sustainability issues</v>
      </c>
      <c r="C197" t="s">
        <v>3573</v>
      </c>
      <c r="D197" s="470" t="s">
        <v>8208</v>
      </c>
      <c r="E197" s="470" t="s">
        <v>8670</v>
      </c>
      <c r="F197" s="471" t="s">
        <v>7739</v>
      </c>
      <c r="G197" t="s">
        <v>9245</v>
      </c>
      <c r="H197" s="89" t="s">
        <v>6933</v>
      </c>
      <c r="I197" s="89" t="s">
        <v>6251</v>
      </c>
      <c r="J197" s="89" t="s">
        <v>7293</v>
      </c>
      <c r="K197" s="456" t="s">
        <v>6486</v>
      </c>
    </row>
    <row r="198" spans="1:11" s="12" customFormat="1" ht="43.8" thickBot="1" x14ac:dyDescent="0.35">
      <c r="A198" s="12" t="s">
        <v>4149</v>
      </c>
      <c r="B198" s="457" t="str">
        <f t="shared" si="7"/>
        <v>Disclosure of any other general and or entity specific information on the reporting period</v>
      </c>
      <c r="C198" s="12" t="s">
        <v>3993</v>
      </c>
      <c r="D198" s="478" t="s">
        <v>8209</v>
      </c>
      <c r="E198" s="478" t="s">
        <v>8671</v>
      </c>
      <c r="F198" s="472" t="s">
        <v>7740</v>
      </c>
      <c r="G198" s="12" t="s">
        <v>9246</v>
      </c>
      <c r="H198" s="424" t="s">
        <v>6934</v>
      </c>
      <c r="I198" s="424" t="s">
        <v>6189</v>
      </c>
      <c r="J198" s="424" t="s">
        <v>7294</v>
      </c>
      <c r="K198" s="476" t="s">
        <v>6607</v>
      </c>
    </row>
    <row r="199" spans="1:11" x14ac:dyDescent="0.3">
      <c r="A199" t="s">
        <v>4150</v>
      </c>
      <c r="B199" s="423" t="str">
        <f t="shared" si="7"/>
        <v>B3 - Total Energy Consumption (in MWh)</v>
      </c>
      <c r="C199" t="s">
        <v>3955</v>
      </c>
      <c r="D199" s="470" t="s">
        <v>8210</v>
      </c>
      <c r="E199" s="470" t="s">
        <v>8672</v>
      </c>
      <c r="F199" s="471" t="s">
        <v>7741</v>
      </c>
      <c r="G199" t="s">
        <v>9247</v>
      </c>
      <c r="H199" s="89" t="s">
        <v>6935</v>
      </c>
      <c r="I199" s="89" t="s">
        <v>5937</v>
      </c>
      <c r="J199" s="89" t="s">
        <v>7295</v>
      </c>
      <c r="K199" s="456" t="s">
        <v>6608</v>
      </c>
    </row>
    <row r="200" spans="1:11" s="12" customFormat="1" ht="29.4" thickBot="1" x14ac:dyDescent="0.35">
      <c r="A200" s="12" t="s">
        <v>4151</v>
      </c>
      <c r="B200" s="457" t="str">
        <f t="shared" si="7"/>
        <v>Total Energy Consumption</v>
      </c>
      <c r="C200" s="12" t="s">
        <v>2876</v>
      </c>
      <c r="D200" s="478" t="s">
        <v>8211</v>
      </c>
      <c r="E200" s="478" t="s">
        <v>8673</v>
      </c>
      <c r="F200" s="472" t="s">
        <v>7742</v>
      </c>
      <c r="G200" s="12" t="s">
        <v>9248</v>
      </c>
      <c r="H200" s="424" t="s">
        <v>6011</v>
      </c>
      <c r="I200" s="424" t="s">
        <v>5938</v>
      </c>
      <c r="J200" s="424" t="s">
        <v>6088</v>
      </c>
      <c r="K200" s="476" t="s">
        <v>6609</v>
      </c>
    </row>
    <row r="201" spans="1:11" x14ac:dyDescent="0.3">
      <c r="A201" t="s">
        <v>4152</v>
      </c>
      <c r="B201" s="423" t="str">
        <f t="shared" si="7"/>
        <v>B3 - Breakdown of energy consumption (in MWh)</v>
      </c>
      <c r="C201" t="s">
        <v>3956</v>
      </c>
      <c r="D201" s="470" t="s">
        <v>8212</v>
      </c>
      <c r="E201" s="470" t="s">
        <v>8674</v>
      </c>
      <c r="F201" s="471" t="s">
        <v>7743</v>
      </c>
      <c r="G201" t="s">
        <v>9249</v>
      </c>
      <c r="H201" s="89" t="s">
        <v>6936</v>
      </c>
      <c r="I201" s="89" t="s">
        <v>5939</v>
      </c>
      <c r="J201" s="89" t="s">
        <v>7296</v>
      </c>
      <c r="K201" s="456" t="s">
        <v>5752</v>
      </c>
    </row>
    <row r="202" spans="1:11" ht="43.2" x14ac:dyDescent="0.3">
      <c r="A202" t="s">
        <v>4153</v>
      </c>
      <c r="B202" s="423" t="str">
        <f t="shared" si="7"/>
        <v>Has the undertaking obtained the necessary information to provide an energy consumption breakdown?</v>
      </c>
      <c r="C202" t="s">
        <v>3086</v>
      </c>
      <c r="D202" s="470" t="s">
        <v>8213</v>
      </c>
      <c r="E202" s="470" t="s">
        <v>8675</v>
      </c>
      <c r="F202" s="471" t="s">
        <v>7744</v>
      </c>
      <c r="G202" t="s">
        <v>9250</v>
      </c>
      <c r="H202" s="89" t="s">
        <v>6937</v>
      </c>
      <c r="I202" s="89" t="s">
        <v>6252</v>
      </c>
      <c r="J202" s="89" t="s">
        <v>7297</v>
      </c>
      <c r="K202" s="456" t="s">
        <v>5753</v>
      </c>
    </row>
    <row r="203" spans="1:11" x14ac:dyDescent="0.3">
      <c r="A203" t="s">
        <v>4154</v>
      </c>
      <c r="B203" s="423" t="str">
        <f t="shared" si="7"/>
        <v>Renewable</v>
      </c>
      <c r="C203" t="s">
        <v>3050</v>
      </c>
      <c r="D203" s="470" t="s">
        <v>8214</v>
      </c>
      <c r="E203" s="470" t="s">
        <v>8676</v>
      </c>
      <c r="F203" s="471" t="s">
        <v>7745</v>
      </c>
      <c r="G203" t="s">
        <v>9251</v>
      </c>
      <c r="H203" s="89" t="s">
        <v>6938</v>
      </c>
      <c r="I203" s="89" t="s">
        <v>5940</v>
      </c>
      <c r="J203" s="89" t="s">
        <v>5855</v>
      </c>
      <c r="K203" s="456" t="s">
        <v>5754</v>
      </c>
    </row>
    <row r="204" spans="1:11" x14ac:dyDescent="0.3">
      <c r="A204" t="s">
        <v>4155</v>
      </c>
      <c r="B204" s="423" t="str">
        <f t="shared" si="7"/>
        <v>Non-renewable</v>
      </c>
      <c r="C204" t="s">
        <v>3051</v>
      </c>
      <c r="D204" s="470" t="s">
        <v>8215</v>
      </c>
      <c r="E204" s="470" t="s">
        <v>8677</v>
      </c>
      <c r="F204" s="471" t="s">
        <v>7746</v>
      </c>
      <c r="G204" t="s">
        <v>9252</v>
      </c>
      <c r="H204" s="89" t="s">
        <v>6939</v>
      </c>
      <c r="I204" s="89" t="s">
        <v>6253</v>
      </c>
      <c r="J204" s="89" t="s">
        <v>5856</v>
      </c>
      <c r="K204" s="456" t="s">
        <v>5755</v>
      </c>
    </row>
    <row r="205" spans="1:11" x14ac:dyDescent="0.3">
      <c r="A205" t="s">
        <v>4156</v>
      </c>
      <c r="B205" s="423" t="str">
        <f t="shared" si="7"/>
        <v>Total renewable and non-renewable</v>
      </c>
      <c r="C205" t="s">
        <v>3052</v>
      </c>
      <c r="D205" s="470" t="s">
        <v>8216</v>
      </c>
      <c r="E205" s="470" t="s">
        <v>8678</v>
      </c>
      <c r="F205" s="471" t="s">
        <v>7747</v>
      </c>
      <c r="G205" t="s">
        <v>9253</v>
      </c>
      <c r="H205" s="89" t="s">
        <v>6940</v>
      </c>
      <c r="I205" s="89" t="s">
        <v>6254</v>
      </c>
      <c r="J205" s="89" t="s">
        <v>5857</v>
      </c>
      <c r="K205" s="456" t="s">
        <v>5756</v>
      </c>
    </row>
    <row r="206" spans="1:11" ht="28.8" x14ac:dyDescent="0.3">
      <c r="A206" t="s">
        <v>4157</v>
      </c>
      <c r="B206" s="423" t="str">
        <f t="shared" si="7"/>
        <v>Electricity (as reflected in utility billings)</v>
      </c>
      <c r="C206" t="s">
        <v>13</v>
      </c>
      <c r="D206" s="470" t="s">
        <v>8217</v>
      </c>
      <c r="E206" s="479" t="s">
        <v>8679</v>
      </c>
      <c r="F206" s="471" t="s">
        <v>7748</v>
      </c>
      <c r="G206" t="s">
        <v>9254</v>
      </c>
      <c r="H206" s="89" t="s">
        <v>6941</v>
      </c>
      <c r="I206" s="89" t="s">
        <v>6255</v>
      </c>
      <c r="J206" s="89" t="s">
        <v>7298</v>
      </c>
      <c r="K206" s="456" t="s">
        <v>6610</v>
      </c>
    </row>
    <row r="207" spans="1:11" x14ac:dyDescent="0.3">
      <c r="A207" t="s">
        <v>4158</v>
      </c>
      <c r="B207" s="423" t="str">
        <f t="shared" si="7"/>
        <v>Self-generated electricity</v>
      </c>
      <c r="C207" t="s">
        <v>3957</v>
      </c>
      <c r="D207" s="470" t="s">
        <v>8218</v>
      </c>
      <c r="E207" s="470" t="s">
        <v>8680</v>
      </c>
      <c r="F207" s="471" t="s">
        <v>7749</v>
      </c>
      <c r="G207" t="s">
        <v>9255</v>
      </c>
      <c r="H207" s="89" t="s">
        <v>6942</v>
      </c>
      <c r="I207" s="89" t="s">
        <v>6256</v>
      </c>
      <c r="J207" s="89" t="s">
        <v>7299</v>
      </c>
      <c r="K207" s="456" t="s">
        <v>6611</v>
      </c>
    </row>
    <row r="208" spans="1:11" s="12" customFormat="1" ht="29.4" thickBot="1" x14ac:dyDescent="0.35">
      <c r="A208" s="12" t="s">
        <v>4159</v>
      </c>
      <c r="B208" s="457" t="str">
        <f t="shared" si="7"/>
        <v>Fuels (see Fuel Converter on Fuels worksheet)</v>
      </c>
      <c r="C208" s="12" t="s">
        <v>3958</v>
      </c>
      <c r="D208" s="478" t="s">
        <v>8219</v>
      </c>
      <c r="E208" s="478" t="s">
        <v>8681</v>
      </c>
      <c r="F208" s="472" t="s">
        <v>7750</v>
      </c>
      <c r="G208" s="12" t="s">
        <v>9256</v>
      </c>
      <c r="H208" s="424" t="s">
        <v>6943</v>
      </c>
      <c r="I208" s="424" t="s">
        <v>6257</v>
      </c>
      <c r="J208" s="424" t="s">
        <v>7300</v>
      </c>
      <c r="K208" s="476" t="s">
        <v>6612</v>
      </c>
    </row>
    <row r="209" spans="1:11" ht="57.6" x14ac:dyDescent="0.3">
      <c r="A209" t="s">
        <v>4160</v>
      </c>
      <c r="B209" s="423" t="str">
        <f t="shared" si="7"/>
        <v>B3 - Estimated Greenhouse Gas Emissions considering the GHG Protocol Version 2004 (in tCO2e)</v>
      </c>
      <c r="C209" t="s">
        <v>4006</v>
      </c>
      <c r="D209" s="470" t="s">
        <v>8220</v>
      </c>
      <c r="E209" s="470" t="s">
        <v>8682</v>
      </c>
      <c r="F209" s="471" t="s">
        <v>7751</v>
      </c>
      <c r="G209" t="s">
        <v>9257</v>
      </c>
      <c r="H209" s="89" t="s">
        <v>6944</v>
      </c>
      <c r="I209" s="89" t="s">
        <v>6258</v>
      </c>
      <c r="J209" s="89" t="s">
        <v>7301</v>
      </c>
      <c r="K209" s="456" t="s">
        <v>6613</v>
      </c>
    </row>
    <row r="210" spans="1:11" x14ac:dyDescent="0.3">
      <c r="A210" t="s">
        <v>4161</v>
      </c>
      <c r="B210" s="423" t="str">
        <f t="shared" si="7"/>
        <v>C3 - GHG reduction targets (in tC02e)</v>
      </c>
      <c r="C210" t="s">
        <v>4007</v>
      </c>
      <c r="D210" s="470" t="s">
        <v>8221</v>
      </c>
      <c r="E210" s="470" t="s">
        <v>8579</v>
      </c>
      <c r="F210" s="471" t="s">
        <v>7752</v>
      </c>
      <c r="G210" t="s">
        <v>9258</v>
      </c>
      <c r="H210" s="89" t="s">
        <v>6945</v>
      </c>
      <c r="I210" s="89" t="s">
        <v>6259</v>
      </c>
      <c r="J210" s="89" t="s">
        <v>7302</v>
      </c>
      <c r="K210" s="456" t="s">
        <v>6614</v>
      </c>
    </row>
    <row r="211" spans="1:11" ht="28.8" x14ac:dyDescent="0.3">
      <c r="A211" t="s">
        <v>4162</v>
      </c>
      <c r="B211" s="423" t="str">
        <f t="shared" si="7"/>
        <v>Has  the undertaking has established GHG emission reduction targets?</v>
      </c>
      <c r="C211" t="s">
        <v>3959</v>
      </c>
      <c r="D211" s="470" t="s">
        <v>8222</v>
      </c>
      <c r="E211" s="470" t="s">
        <v>8683</v>
      </c>
      <c r="F211" s="471" t="s">
        <v>7753</v>
      </c>
      <c r="G211" t="s">
        <v>9259</v>
      </c>
      <c r="H211" s="89" t="s">
        <v>6946</v>
      </c>
      <c r="I211" s="89" t="s">
        <v>6260</v>
      </c>
      <c r="J211" s="89" t="s">
        <v>7303</v>
      </c>
      <c r="K211" s="456" t="s">
        <v>6615</v>
      </c>
    </row>
    <row r="212" spans="1:11" x14ac:dyDescent="0.3">
      <c r="A212" t="s">
        <v>4163</v>
      </c>
      <c r="B212" s="423" t="str">
        <f t="shared" si="7"/>
        <v>Current Reporting Period</v>
      </c>
      <c r="C212" t="s">
        <v>14</v>
      </c>
      <c r="D212" s="470" t="s">
        <v>8223</v>
      </c>
      <c r="E212" s="470" t="s">
        <v>8684</v>
      </c>
      <c r="F212" s="471" t="s">
        <v>7754</v>
      </c>
      <c r="G212" t="s">
        <v>9260</v>
      </c>
      <c r="H212" s="89" t="s">
        <v>6049</v>
      </c>
      <c r="I212" s="89" t="s">
        <v>5941</v>
      </c>
      <c r="J212" s="89" t="s">
        <v>7304</v>
      </c>
      <c r="K212" s="456" t="s">
        <v>6616</v>
      </c>
    </row>
    <row r="213" spans="1:11" x14ac:dyDescent="0.3">
      <c r="A213" t="s">
        <v>4164</v>
      </c>
      <c r="B213" s="423" t="str">
        <f t="shared" si="7"/>
        <v>Base Year</v>
      </c>
      <c r="C213" t="s">
        <v>3534</v>
      </c>
      <c r="D213" s="470" t="s">
        <v>8224</v>
      </c>
      <c r="E213" s="470" t="s">
        <v>8685</v>
      </c>
      <c r="F213" s="471" t="s">
        <v>7755</v>
      </c>
      <c r="G213" t="s">
        <v>9261</v>
      </c>
      <c r="H213" s="89" t="s">
        <v>6947</v>
      </c>
      <c r="I213" s="89" t="s">
        <v>5942</v>
      </c>
      <c r="J213" s="89" t="s">
        <v>6089</v>
      </c>
      <c r="K213" s="456" t="s">
        <v>6617</v>
      </c>
    </row>
    <row r="214" spans="1:11" x14ac:dyDescent="0.3">
      <c r="A214" t="s">
        <v>4165</v>
      </c>
      <c r="B214" s="423" t="str">
        <f t="shared" si="7"/>
        <v>Target Year</v>
      </c>
      <c r="C214" t="s">
        <v>3535</v>
      </c>
      <c r="D214" s="470" t="s">
        <v>8225</v>
      </c>
      <c r="E214" s="470" t="s">
        <v>8686</v>
      </c>
      <c r="F214" s="471" t="s">
        <v>7756</v>
      </c>
      <c r="G214" t="s">
        <v>9262</v>
      </c>
      <c r="H214" s="89" t="s">
        <v>6012</v>
      </c>
      <c r="I214" s="89" t="s">
        <v>5943</v>
      </c>
      <c r="J214" s="89" t="s">
        <v>7305</v>
      </c>
      <c r="K214" s="456" t="s">
        <v>5757</v>
      </c>
    </row>
    <row r="215" spans="1:11" x14ac:dyDescent="0.3">
      <c r="A215" t="s">
        <v>4166</v>
      </c>
      <c r="B215" s="423" t="str">
        <f t="shared" si="7"/>
        <v>Percentage reduction from base year</v>
      </c>
      <c r="C215" t="s">
        <v>3548</v>
      </c>
      <c r="D215" s="470" t="s">
        <v>8226</v>
      </c>
      <c r="E215" s="470" t="s">
        <v>8687</v>
      </c>
      <c r="F215" s="471" t="s">
        <v>7757</v>
      </c>
      <c r="G215" t="s">
        <v>9263</v>
      </c>
      <c r="H215" s="89" t="s">
        <v>6948</v>
      </c>
      <c r="I215" s="89" t="s">
        <v>6261</v>
      </c>
      <c r="J215" s="89" t="s">
        <v>7306</v>
      </c>
      <c r="K215" s="456" t="s">
        <v>6618</v>
      </c>
    </row>
    <row r="216" spans="1:11" x14ac:dyDescent="0.3">
      <c r="A216" t="s">
        <v>4167</v>
      </c>
      <c r="B216" s="423" t="str">
        <f t="shared" si="7"/>
        <v>Year (date)</v>
      </c>
      <c r="C216" t="s">
        <v>2914</v>
      </c>
      <c r="D216" s="470" t="s">
        <v>8227</v>
      </c>
      <c r="E216" s="470" t="s">
        <v>8688</v>
      </c>
      <c r="F216" s="471" t="s">
        <v>7758</v>
      </c>
      <c r="G216" t="s">
        <v>9264</v>
      </c>
      <c r="H216" s="89" t="s">
        <v>6013</v>
      </c>
      <c r="I216" s="89" t="s">
        <v>5944</v>
      </c>
      <c r="J216" s="89" t="s">
        <v>5858</v>
      </c>
      <c r="K216" s="456" t="s">
        <v>5758</v>
      </c>
    </row>
    <row r="217" spans="1:11" x14ac:dyDescent="0.3">
      <c r="A217" t="s">
        <v>4168</v>
      </c>
      <c r="B217" s="423" t="str">
        <f t="shared" si="7"/>
        <v>Gross Scope 1 GHG Emissions</v>
      </c>
      <c r="C217" t="s">
        <v>3536</v>
      </c>
      <c r="D217" s="470" t="s">
        <v>8228</v>
      </c>
      <c r="E217" s="470" t="s">
        <v>8689</v>
      </c>
      <c r="F217" s="471" t="s">
        <v>7759</v>
      </c>
      <c r="G217" t="s">
        <v>9265</v>
      </c>
      <c r="H217" s="89" t="s">
        <v>6949</v>
      </c>
      <c r="I217" s="89" t="s">
        <v>6262</v>
      </c>
      <c r="J217" s="89" t="s">
        <v>7307</v>
      </c>
      <c r="K217" s="456" t="s">
        <v>6619</v>
      </c>
    </row>
    <row r="218" spans="1:11" ht="28.8" x14ac:dyDescent="0.3">
      <c r="A218" t="s">
        <v>4169</v>
      </c>
      <c r="B218" s="423" t="str">
        <f t="shared" si="7"/>
        <v>Gross Scope 2 location-based GHG Emissions</v>
      </c>
      <c r="C218" t="s">
        <v>3537</v>
      </c>
      <c r="D218" s="470" t="s">
        <v>8229</v>
      </c>
      <c r="E218" s="470" t="s">
        <v>8690</v>
      </c>
      <c r="F218" s="471" t="s">
        <v>7760</v>
      </c>
      <c r="G218" t="s">
        <v>9266</v>
      </c>
      <c r="H218" s="89" t="s">
        <v>6950</v>
      </c>
      <c r="I218" s="89" t="s">
        <v>6263</v>
      </c>
      <c r="J218" s="89" t="s">
        <v>7308</v>
      </c>
      <c r="K218" s="456" t="s">
        <v>5759</v>
      </c>
    </row>
    <row r="219" spans="1:11" ht="28.8" x14ac:dyDescent="0.3">
      <c r="A219" t="s">
        <v>4170</v>
      </c>
      <c r="B219" s="423" t="str">
        <f t="shared" si="7"/>
        <v>Gross scope 2 market-based GHG Emissions</v>
      </c>
      <c r="C219" t="s">
        <v>3994</v>
      </c>
      <c r="D219" s="470" t="s">
        <v>8230</v>
      </c>
      <c r="E219" s="470" t="s">
        <v>8691</v>
      </c>
      <c r="F219" s="471" t="s">
        <v>7761</v>
      </c>
      <c r="G219" t="s">
        <v>9267</v>
      </c>
      <c r="H219" s="89" t="s">
        <v>6951</v>
      </c>
      <c r="I219" s="89" t="s">
        <v>6264</v>
      </c>
      <c r="J219" s="89" t="s">
        <v>7309</v>
      </c>
      <c r="K219" s="456" t="s">
        <v>6620</v>
      </c>
    </row>
    <row r="220" spans="1:11" ht="28.8" x14ac:dyDescent="0.3">
      <c r="A220" t="s">
        <v>4171</v>
      </c>
      <c r="B220" s="423" t="str">
        <f t="shared" si="7"/>
        <v>Total Scope 1 and Scope 2 GHG Emissions (location-based)</v>
      </c>
      <c r="C220" t="s">
        <v>3538</v>
      </c>
      <c r="D220" s="470" t="s">
        <v>8231</v>
      </c>
      <c r="E220" s="470" t="s">
        <v>8692</v>
      </c>
      <c r="F220" s="471" t="s">
        <v>7762</v>
      </c>
      <c r="G220" t="s">
        <v>9268</v>
      </c>
      <c r="H220" s="89" t="s">
        <v>6952</v>
      </c>
      <c r="I220" s="89" t="s">
        <v>6265</v>
      </c>
      <c r="J220" s="89" t="s">
        <v>7310</v>
      </c>
      <c r="K220" s="456" t="s">
        <v>6621</v>
      </c>
    </row>
    <row r="221" spans="1:11" ht="28.8" x14ac:dyDescent="0.3">
      <c r="A221" t="s">
        <v>4172</v>
      </c>
      <c r="B221" s="423" t="str">
        <f t="shared" si="7"/>
        <v>Total Scope 1 and Scope 2 GHG emissions  (market-based)</v>
      </c>
      <c r="C221" t="s">
        <v>4008</v>
      </c>
      <c r="D221" s="470" t="s">
        <v>8232</v>
      </c>
      <c r="E221" s="470" t="s">
        <v>8693</v>
      </c>
      <c r="F221" s="471" t="s">
        <v>7763</v>
      </c>
      <c r="G221" t="s">
        <v>9269</v>
      </c>
      <c r="H221" s="89" t="s">
        <v>6952</v>
      </c>
      <c r="I221" s="89" t="s">
        <v>6266</v>
      </c>
      <c r="J221" s="89" t="s">
        <v>7311</v>
      </c>
      <c r="K221" s="456" t="s">
        <v>6622</v>
      </c>
    </row>
    <row r="222" spans="1:11" ht="28.8" x14ac:dyDescent="0.3">
      <c r="A222" t="s">
        <v>4173</v>
      </c>
      <c r="B222" s="423" t="str">
        <f t="shared" si="7"/>
        <v>Is the undertaking disclosing entity-specific information on Scope 3 emissions (in tCO2e)?</v>
      </c>
      <c r="C222" t="s">
        <v>3678</v>
      </c>
      <c r="D222" s="470" t="s">
        <v>8233</v>
      </c>
      <c r="E222" s="470" t="s">
        <v>8694</v>
      </c>
      <c r="F222" s="471" t="s">
        <v>7764</v>
      </c>
      <c r="G222" t="s">
        <v>9270</v>
      </c>
      <c r="H222" s="89" t="s">
        <v>6953</v>
      </c>
      <c r="I222" s="89" t="s">
        <v>6267</v>
      </c>
      <c r="J222" s="89" t="s">
        <v>7312</v>
      </c>
      <c r="K222" s="456" t="s">
        <v>6487</v>
      </c>
    </row>
    <row r="223" spans="1:11" x14ac:dyDescent="0.3">
      <c r="A223" t="s">
        <v>4174</v>
      </c>
      <c r="B223" s="423" t="str">
        <f t="shared" si="7"/>
        <v>1. Purchased Goods and Services</v>
      </c>
      <c r="C223" t="s">
        <v>3960</v>
      </c>
      <c r="D223" s="470" t="s">
        <v>8234</v>
      </c>
      <c r="E223" s="470" t="s">
        <v>8695</v>
      </c>
      <c r="F223" s="471" t="s">
        <v>7765</v>
      </c>
      <c r="G223" t="s">
        <v>9271</v>
      </c>
      <c r="H223" s="89" t="s">
        <v>6954</v>
      </c>
      <c r="I223" s="89" t="s">
        <v>5945</v>
      </c>
      <c r="J223" s="89" t="s">
        <v>6090</v>
      </c>
      <c r="K223" s="456" t="s">
        <v>5760</v>
      </c>
    </row>
    <row r="224" spans="1:11" x14ac:dyDescent="0.3">
      <c r="A224" t="s">
        <v>4175</v>
      </c>
      <c r="B224" s="423" t="str">
        <f t="shared" si="7"/>
        <v>2. Capital Goods</v>
      </c>
      <c r="C224" t="s">
        <v>3961</v>
      </c>
      <c r="D224" s="470" t="s">
        <v>8235</v>
      </c>
      <c r="E224" s="470" t="s">
        <v>8696</v>
      </c>
      <c r="F224" s="471" t="s">
        <v>7766</v>
      </c>
      <c r="G224" t="s">
        <v>9272</v>
      </c>
      <c r="H224" s="89" t="s">
        <v>6955</v>
      </c>
      <c r="I224" s="89" t="s">
        <v>5946</v>
      </c>
      <c r="J224" s="89" t="s">
        <v>7313</v>
      </c>
      <c r="K224" s="456" t="s">
        <v>5761</v>
      </c>
    </row>
    <row r="225" spans="1:11" ht="28.8" x14ac:dyDescent="0.3">
      <c r="A225" t="s">
        <v>4176</v>
      </c>
      <c r="B225" s="423" t="str">
        <f t="shared" si="7"/>
        <v>3. Fuel- and Energy-Related Activities (Not Included in Scope 1 or Scope 2)</v>
      </c>
      <c r="C225" t="s">
        <v>3562</v>
      </c>
      <c r="D225" s="470" t="s">
        <v>8236</v>
      </c>
      <c r="E225" s="470" t="s">
        <v>8697</v>
      </c>
      <c r="F225" s="471" t="s">
        <v>7767</v>
      </c>
      <c r="G225" t="s">
        <v>9273</v>
      </c>
      <c r="H225" s="89" t="s">
        <v>6956</v>
      </c>
      <c r="I225" s="89" t="s">
        <v>6268</v>
      </c>
      <c r="J225" s="89" t="s">
        <v>7314</v>
      </c>
      <c r="K225" s="456" t="s">
        <v>6623</v>
      </c>
    </row>
    <row r="226" spans="1:11" x14ac:dyDescent="0.3">
      <c r="A226" t="s">
        <v>4177</v>
      </c>
      <c r="B226" s="423" t="str">
        <f t="shared" si="7"/>
        <v>4. Upstream Transportation and Distribution</v>
      </c>
      <c r="C226" t="s">
        <v>3962</v>
      </c>
      <c r="D226" s="470" t="s">
        <v>8237</v>
      </c>
      <c r="E226" s="470" t="s">
        <v>8698</v>
      </c>
      <c r="F226" s="471" t="s">
        <v>7768</v>
      </c>
      <c r="G226" t="s">
        <v>9274</v>
      </c>
      <c r="H226" s="89" t="s">
        <v>6957</v>
      </c>
      <c r="I226" s="89" t="s">
        <v>6269</v>
      </c>
      <c r="J226" s="89" t="s">
        <v>5859</v>
      </c>
      <c r="K226" s="456" t="s">
        <v>5762</v>
      </c>
    </row>
    <row r="227" spans="1:11" x14ac:dyDescent="0.3">
      <c r="A227" t="s">
        <v>4178</v>
      </c>
      <c r="B227" s="423" t="str">
        <f t="shared" si="7"/>
        <v>5. Waste Generated in Operations</v>
      </c>
      <c r="C227" t="s">
        <v>3963</v>
      </c>
      <c r="D227" s="470" t="s">
        <v>8238</v>
      </c>
      <c r="E227" s="470" t="s">
        <v>8699</v>
      </c>
      <c r="F227" s="471" t="s">
        <v>7769</v>
      </c>
      <c r="G227" t="s">
        <v>9275</v>
      </c>
      <c r="H227" s="89" t="s">
        <v>6958</v>
      </c>
      <c r="I227" s="89" t="s">
        <v>6270</v>
      </c>
      <c r="J227" s="89" t="s">
        <v>7315</v>
      </c>
      <c r="K227" s="456" t="s">
        <v>5763</v>
      </c>
    </row>
    <row r="228" spans="1:11" x14ac:dyDescent="0.3">
      <c r="A228" t="s">
        <v>4179</v>
      </c>
      <c r="B228" s="423" t="str">
        <f t="shared" si="7"/>
        <v>6. Business Travel</v>
      </c>
      <c r="C228" t="s">
        <v>3964</v>
      </c>
      <c r="D228" s="470" t="s">
        <v>8239</v>
      </c>
      <c r="E228" s="470" t="s">
        <v>8700</v>
      </c>
      <c r="F228" s="471" t="s">
        <v>7770</v>
      </c>
      <c r="G228" t="s">
        <v>9276</v>
      </c>
      <c r="H228" s="89" t="s">
        <v>6014</v>
      </c>
      <c r="I228" s="89" t="s">
        <v>5947</v>
      </c>
      <c r="J228" s="89" t="s">
        <v>7316</v>
      </c>
      <c r="K228" s="456" t="s">
        <v>5764</v>
      </c>
    </row>
    <row r="229" spans="1:11" x14ac:dyDescent="0.3">
      <c r="A229" t="s">
        <v>4180</v>
      </c>
      <c r="B229" s="423" t="str">
        <f t="shared" si="7"/>
        <v>7. Employee Commuting</v>
      </c>
      <c r="C229" t="s">
        <v>3965</v>
      </c>
      <c r="D229" s="470" t="s">
        <v>8240</v>
      </c>
      <c r="E229" s="470" t="s">
        <v>8701</v>
      </c>
      <c r="F229" s="471" t="s">
        <v>7771</v>
      </c>
      <c r="G229" t="s">
        <v>9277</v>
      </c>
      <c r="H229" s="89" t="s">
        <v>6959</v>
      </c>
      <c r="I229" s="89" t="s">
        <v>5948</v>
      </c>
      <c r="J229" s="89" t="s">
        <v>7317</v>
      </c>
      <c r="K229" s="456" t="s">
        <v>6624</v>
      </c>
    </row>
    <row r="230" spans="1:11" x14ac:dyDescent="0.3">
      <c r="A230" t="s">
        <v>4181</v>
      </c>
      <c r="B230" s="423" t="str">
        <f t="shared" si="7"/>
        <v>8. Upstream Leased Assets</v>
      </c>
      <c r="C230" t="s">
        <v>3966</v>
      </c>
      <c r="D230" s="470" t="s">
        <v>8241</v>
      </c>
      <c r="E230" s="470" t="s">
        <v>8702</v>
      </c>
      <c r="F230" s="471" t="s">
        <v>7772</v>
      </c>
      <c r="G230" t="s">
        <v>9278</v>
      </c>
      <c r="H230" s="89" t="s">
        <v>6960</v>
      </c>
      <c r="I230" s="89" t="s">
        <v>6271</v>
      </c>
      <c r="J230" s="89" t="s">
        <v>7318</v>
      </c>
      <c r="K230" s="456" t="s">
        <v>6488</v>
      </c>
    </row>
    <row r="231" spans="1:11" x14ac:dyDescent="0.3">
      <c r="A231" t="s">
        <v>4182</v>
      </c>
      <c r="B231" s="423" t="str">
        <f t="shared" si="7"/>
        <v>9. Downstream Transportation and Distribution</v>
      </c>
      <c r="C231" t="s">
        <v>3967</v>
      </c>
      <c r="D231" s="470" t="s">
        <v>8242</v>
      </c>
      <c r="E231" s="470" t="s">
        <v>8703</v>
      </c>
      <c r="F231" s="471" t="s">
        <v>7773</v>
      </c>
      <c r="G231" t="s">
        <v>9279</v>
      </c>
      <c r="H231" s="89" t="s">
        <v>6961</v>
      </c>
      <c r="I231" s="89" t="s">
        <v>6272</v>
      </c>
      <c r="J231" s="89" t="s">
        <v>7319</v>
      </c>
      <c r="K231" s="456" t="s">
        <v>5765</v>
      </c>
    </row>
    <row r="232" spans="1:11" x14ac:dyDescent="0.3">
      <c r="A232" t="s">
        <v>4183</v>
      </c>
      <c r="B232" s="423" t="str">
        <f t="shared" si="7"/>
        <v>10. Processing of Sold Products</v>
      </c>
      <c r="C232" t="s">
        <v>3968</v>
      </c>
      <c r="D232" s="470" t="s">
        <v>8243</v>
      </c>
      <c r="E232" s="470" t="s">
        <v>8704</v>
      </c>
      <c r="F232" s="471" t="s">
        <v>7774</v>
      </c>
      <c r="G232" t="s">
        <v>9280</v>
      </c>
      <c r="H232" s="89" t="s">
        <v>6962</v>
      </c>
      <c r="I232" s="89" t="s">
        <v>5949</v>
      </c>
      <c r="J232" s="89" t="s">
        <v>7510</v>
      </c>
      <c r="K232" s="456" t="s">
        <v>5766</v>
      </c>
    </row>
    <row r="233" spans="1:11" x14ac:dyDescent="0.3">
      <c r="A233" t="s">
        <v>4184</v>
      </c>
      <c r="B233" s="423" t="str">
        <f t="shared" si="7"/>
        <v>11. Use of Sold Products</v>
      </c>
      <c r="C233" t="s">
        <v>3969</v>
      </c>
      <c r="D233" s="470" t="s">
        <v>8244</v>
      </c>
      <c r="E233" s="470" t="s">
        <v>8705</v>
      </c>
      <c r="F233" s="471" t="s">
        <v>7775</v>
      </c>
      <c r="G233" t="s">
        <v>9281</v>
      </c>
      <c r="H233" s="89" t="s">
        <v>6963</v>
      </c>
      <c r="I233" s="89" t="s">
        <v>6273</v>
      </c>
      <c r="J233" s="89" t="s">
        <v>5860</v>
      </c>
      <c r="K233" s="456" t="s">
        <v>6625</v>
      </c>
    </row>
    <row r="234" spans="1:11" ht="28.8" x14ac:dyDescent="0.3">
      <c r="A234" t="s">
        <v>4185</v>
      </c>
      <c r="B234" s="423" t="str">
        <f t="shared" si="7"/>
        <v>12. End-of-Life Treatment of Sold Products</v>
      </c>
      <c r="C234" t="s">
        <v>3970</v>
      </c>
      <c r="D234" s="470" t="s">
        <v>8245</v>
      </c>
      <c r="E234" s="470" t="s">
        <v>8706</v>
      </c>
      <c r="F234" s="471" t="s">
        <v>7776</v>
      </c>
      <c r="G234" t="s">
        <v>9282</v>
      </c>
      <c r="H234" s="89" t="s">
        <v>6964</v>
      </c>
      <c r="I234" s="89" t="s">
        <v>6274</v>
      </c>
      <c r="J234" s="89" t="s">
        <v>7511</v>
      </c>
      <c r="K234" s="456" t="s">
        <v>5767</v>
      </c>
    </row>
    <row r="235" spans="1:11" x14ac:dyDescent="0.3">
      <c r="A235" t="s">
        <v>4186</v>
      </c>
      <c r="B235" s="423" t="str">
        <f t="shared" si="7"/>
        <v>13. Downstream Leased Assets</v>
      </c>
      <c r="C235" t="s">
        <v>3971</v>
      </c>
      <c r="D235" s="470" t="s">
        <v>8246</v>
      </c>
      <c r="E235" s="470" t="s">
        <v>8707</v>
      </c>
      <c r="F235" s="471" t="s">
        <v>7777</v>
      </c>
      <c r="G235" t="s">
        <v>9283</v>
      </c>
      <c r="H235" s="89" t="s">
        <v>6965</v>
      </c>
      <c r="I235" s="89" t="s">
        <v>6275</v>
      </c>
      <c r="J235" s="89" t="s">
        <v>7320</v>
      </c>
      <c r="K235" s="456" t="s">
        <v>5768</v>
      </c>
    </row>
    <row r="236" spans="1:11" x14ac:dyDescent="0.3">
      <c r="A236" t="s">
        <v>4187</v>
      </c>
      <c r="B236" s="423" t="str">
        <f t="shared" si="7"/>
        <v>14. Franchises</v>
      </c>
      <c r="C236" t="s">
        <v>3972</v>
      </c>
      <c r="D236" s="470" t="s">
        <v>8247</v>
      </c>
      <c r="E236" s="470" t="s">
        <v>3972</v>
      </c>
      <c r="F236" s="471" t="s">
        <v>3972</v>
      </c>
      <c r="G236" t="s">
        <v>9284</v>
      </c>
      <c r="H236" s="89" t="s">
        <v>6015</v>
      </c>
      <c r="I236" s="89" t="s">
        <v>6071</v>
      </c>
      <c r="J236" s="89" t="s">
        <v>6091</v>
      </c>
      <c r="K236" s="456" t="s">
        <v>5769</v>
      </c>
    </row>
    <row r="237" spans="1:11" x14ac:dyDescent="0.3">
      <c r="A237" t="s">
        <v>4188</v>
      </c>
      <c r="B237" s="423" t="str">
        <f t="shared" si="7"/>
        <v>15. Investments</v>
      </c>
      <c r="C237" t="s">
        <v>3551</v>
      </c>
      <c r="D237" s="470" t="s">
        <v>8248</v>
      </c>
      <c r="E237" s="470" t="s">
        <v>8708</v>
      </c>
      <c r="F237" s="471" t="s">
        <v>7778</v>
      </c>
      <c r="G237" t="s">
        <v>9285</v>
      </c>
      <c r="H237" s="89" t="s">
        <v>6966</v>
      </c>
      <c r="I237" s="89" t="s">
        <v>6072</v>
      </c>
      <c r="J237" s="89" t="s">
        <v>5861</v>
      </c>
      <c r="K237" s="456" t="s">
        <v>5770</v>
      </c>
    </row>
    <row r="238" spans="1:11" x14ac:dyDescent="0.3">
      <c r="A238" t="s">
        <v>4189</v>
      </c>
      <c r="B238" s="423" t="str">
        <f t="shared" si="7"/>
        <v>Total Scope 3 GHG  emissions</v>
      </c>
      <c r="C238" t="s">
        <v>3576</v>
      </c>
      <c r="D238" s="470" t="s">
        <v>8249</v>
      </c>
      <c r="E238" s="470" t="s">
        <v>8709</v>
      </c>
      <c r="F238" s="471" t="s">
        <v>7779</v>
      </c>
      <c r="G238" t="s">
        <v>9286</v>
      </c>
      <c r="H238" s="89" t="s">
        <v>6967</v>
      </c>
      <c r="I238" s="89" t="s">
        <v>6276</v>
      </c>
      <c r="J238" s="89" t="s">
        <v>7321</v>
      </c>
      <c r="K238" s="456" t="s">
        <v>6626</v>
      </c>
    </row>
    <row r="239" spans="1:11" ht="28.8" x14ac:dyDescent="0.3">
      <c r="A239" t="s">
        <v>4190</v>
      </c>
      <c r="B239" s="423" t="str">
        <f t="shared" si="7"/>
        <v>Total Scope 1 Scope 2 and Scope 3 GHG Emissions (location-based)</v>
      </c>
      <c r="C239" t="s">
        <v>4033</v>
      </c>
      <c r="D239" s="470" t="s">
        <v>8250</v>
      </c>
      <c r="E239" s="470" t="s">
        <v>8710</v>
      </c>
      <c r="F239" s="471" t="s">
        <v>7780</v>
      </c>
      <c r="G239" t="s">
        <v>9287</v>
      </c>
      <c r="H239" s="89" t="s">
        <v>6968</v>
      </c>
      <c r="I239" s="89" t="s">
        <v>6277</v>
      </c>
      <c r="J239" s="89" t="s">
        <v>7322</v>
      </c>
      <c r="K239" s="456" t="s">
        <v>6627</v>
      </c>
    </row>
    <row r="240" spans="1:11" s="12" customFormat="1" ht="29.4" thickBot="1" x14ac:dyDescent="0.35">
      <c r="A240" s="12" t="s">
        <v>4191</v>
      </c>
      <c r="B240" s="457" t="str">
        <f t="shared" si="7"/>
        <v>Total Scope 1 Scope 2 and Scope 3 GHG Emissions (market-based)</v>
      </c>
      <c r="C240" s="12" t="s">
        <v>4034</v>
      </c>
      <c r="D240" s="478" t="s">
        <v>8251</v>
      </c>
      <c r="E240" s="478" t="s">
        <v>8711</v>
      </c>
      <c r="F240" s="472" t="s">
        <v>7781</v>
      </c>
      <c r="G240" s="12" t="s">
        <v>9288</v>
      </c>
      <c r="H240" s="424" t="s">
        <v>6969</v>
      </c>
      <c r="I240" s="424" t="s">
        <v>6278</v>
      </c>
      <c r="J240" s="424" t="s">
        <v>7323</v>
      </c>
      <c r="K240" s="476" t="s">
        <v>6628</v>
      </c>
    </row>
    <row r="241" spans="1:11" ht="43.2" x14ac:dyDescent="0.3">
      <c r="A241" t="s">
        <v>4192</v>
      </c>
      <c r="B241" s="423" t="str">
        <f t="shared" si="7"/>
        <v>C3 - Disclosure of list of main actions the entity seeks in order to achieve its targets</v>
      </c>
      <c r="C241" t="s">
        <v>4009</v>
      </c>
      <c r="D241" s="470" t="s">
        <v>8252</v>
      </c>
      <c r="E241" s="470" t="s">
        <v>8712</v>
      </c>
      <c r="F241" s="471" t="s">
        <v>7782</v>
      </c>
      <c r="G241" t="s">
        <v>9289</v>
      </c>
      <c r="H241" s="89" t="s">
        <v>6970</v>
      </c>
      <c r="I241" s="89" t="s">
        <v>6279</v>
      </c>
      <c r="J241" s="89" t="s">
        <v>7324</v>
      </c>
      <c r="K241" s="456" t="s">
        <v>6629</v>
      </c>
    </row>
    <row r="242" spans="1:11" ht="28.8" x14ac:dyDescent="0.3">
      <c r="A242" t="s">
        <v>4193</v>
      </c>
      <c r="B242" s="423" t="str">
        <f t="shared" si="7"/>
        <v>C3 - Transition plan for undertakings operating in high climate impact sectors</v>
      </c>
      <c r="C242" t="s">
        <v>4010</v>
      </c>
      <c r="D242" s="470" t="s">
        <v>8253</v>
      </c>
      <c r="E242" s="470" t="s">
        <v>8713</v>
      </c>
      <c r="F242" s="471" t="s">
        <v>7783</v>
      </c>
      <c r="G242" t="s">
        <v>9290</v>
      </c>
      <c r="H242" s="89" t="s">
        <v>6971</v>
      </c>
      <c r="I242" s="89" t="s">
        <v>6280</v>
      </c>
      <c r="J242" s="89" t="s">
        <v>7325</v>
      </c>
      <c r="K242" s="456" t="s">
        <v>6630</v>
      </c>
    </row>
    <row r="243" spans="1:11" ht="28.8" x14ac:dyDescent="0.3">
      <c r="A243" t="s">
        <v>4194</v>
      </c>
      <c r="B243" s="423" t="str">
        <f t="shared" si="7"/>
        <v>Is the undertaking operating in high impact sectors?</v>
      </c>
      <c r="C243" t="s">
        <v>3973</v>
      </c>
      <c r="D243" s="470" t="s">
        <v>8254</v>
      </c>
      <c r="E243" s="470" t="s">
        <v>8714</v>
      </c>
      <c r="F243" s="471" t="s">
        <v>7784</v>
      </c>
      <c r="G243" t="s">
        <v>9291</v>
      </c>
      <c r="H243" s="89" t="s">
        <v>6972</v>
      </c>
      <c r="I243" s="89" t="s">
        <v>6281</v>
      </c>
      <c r="J243" s="89" t="s">
        <v>7326</v>
      </c>
      <c r="K243" s="456" t="s">
        <v>5771</v>
      </c>
    </row>
    <row r="244" spans="1:11" ht="28.8" x14ac:dyDescent="0.3">
      <c r="A244" t="s">
        <v>4195</v>
      </c>
      <c r="B244" s="423" t="str">
        <f t="shared" si="7"/>
        <v>Status of implementation of a transition plan in relation to climate change mitigation</v>
      </c>
      <c r="C244" t="s">
        <v>3974</v>
      </c>
      <c r="D244" s="470" t="s">
        <v>8255</v>
      </c>
      <c r="E244" s="470" t="s">
        <v>8715</v>
      </c>
      <c r="F244" s="471" t="s">
        <v>7785</v>
      </c>
      <c r="G244" t="s">
        <v>9292</v>
      </c>
      <c r="H244" s="89" t="s">
        <v>6973</v>
      </c>
      <c r="I244" s="89" t="s">
        <v>6282</v>
      </c>
      <c r="J244" s="89" t="s">
        <v>7327</v>
      </c>
      <c r="K244" s="456" t="s">
        <v>6631</v>
      </c>
    </row>
    <row r="245" spans="1:11" ht="57.6" x14ac:dyDescent="0.3">
      <c r="A245" t="s">
        <v>4196</v>
      </c>
      <c r="B245" s="423" t="str">
        <f t="shared" si="7"/>
        <v>Description of a transition plan for climate change mitigation including an explanation of how it is contributing to reduce GHG emissions</v>
      </c>
      <c r="C245" t="s">
        <v>4035</v>
      </c>
      <c r="D245" s="470" t="s">
        <v>8256</v>
      </c>
      <c r="E245" s="470" t="s">
        <v>8716</v>
      </c>
      <c r="F245" s="471" t="s">
        <v>7786</v>
      </c>
      <c r="G245" t="s">
        <v>9293</v>
      </c>
      <c r="H245" s="89" t="s">
        <v>6974</v>
      </c>
      <c r="I245" s="89" t="s">
        <v>6283</v>
      </c>
      <c r="J245" s="89" t="s">
        <v>7328</v>
      </c>
      <c r="K245" s="456" t="s">
        <v>6632</v>
      </c>
    </row>
    <row r="246" spans="1:11" ht="43.2" x14ac:dyDescent="0.3">
      <c r="A246" t="s">
        <v>4197</v>
      </c>
      <c r="B246" s="423" t="str">
        <f t="shared" si="7"/>
        <v>Date of foreseen adoption of transition plan for undertaking not having adopted transition plan yet</v>
      </c>
      <c r="C246" t="s">
        <v>3542</v>
      </c>
      <c r="D246" s="470" t="s">
        <v>8257</v>
      </c>
      <c r="E246" s="470" t="s">
        <v>8717</v>
      </c>
      <c r="F246" s="471" t="s">
        <v>7787</v>
      </c>
      <c r="G246" t="s">
        <v>9294</v>
      </c>
      <c r="H246" s="89" t="s">
        <v>6975</v>
      </c>
      <c r="I246" s="89" t="s">
        <v>6284</v>
      </c>
      <c r="J246" s="89" t="s">
        <v>7329</v>
      </c>
      <c r="K246" s="456" t="s">
        <v>6633</v>
      </c>
    </row>
    <row r="247" spans="1:11" x14ac:dyDescent="0.3">
      <c r="A247" t="s">
        <v>4198</v>
      </c>
      <c r="B247" s="423" t="str">
        <f t="shared" si="7"/>
        <v>Year</v>
      </c>
      <c r="C247" t="s">
        <v>3025</v>
      </c>
      <c r="D247" s="470" t="s">
        <v>8258</v>
      </c>
      <c r="E247" s="470" t="s">
        <v>8718</v>
      </c>
      <c r="F247" s="471" t="s">
        <v>7788</v>
      </c>
      <c r="G247" t="s">
        <v>9295</v>
      </c>
      <c r="H247" s="89" t="s">
        <v>6058</v>
      </c>
      <c r="I247" s="89" t="s">
        <v>5691</v>
      </c>
      <c r="J247" s="89" t="s">
        <v>5862</v>
      </c>
      <c r="K247" s="456" t="s">
        <v>5772</v>
      </c>
    </row>
    <row r="248" spans="1:11" x14ac:dyDescent="0.3">
      <c r="A248" t="s">
        <v>4199</v>
      </c>
      <c r="B248" s="423" t="str">
        <f t="shared" si="7"/>
        <v>Month</v>
      </c>
      <c r="C248" t="s">
        <v>3026</v>
      </c>
      <c r="D248" s="470" t="s">
        <v>8259</v>
      </c>
      <c r="E248" s="470" t="s">
        <v>8719</v>
      </c>
      <c r="F248" s="471" t="s">
        <v>7789</v>
      </c>
      <c r="G248" t="s">
        <v>9296</v>
      </c>
      <c r="H248" s="89" t="s">
        <v>6016</v>
      </c>
      <c r="I248" s="89" t="s">
        <v>5950</v>
      </c>
      <c r="J248" s="89" t="s">
        <v>6092</v>
      </c>
      <c r="K248" s="456" t="s">
        <v>5773</v>
      </c>
    </row>
    <row r="249" spans="1:11" x14ac:dyDescent="0.3">
      <c r="A249" t="s">
        <v>4200</v>
      </c>
      <c r="B249" s="423" t="str">
        <f t="shared" si="7"/>
        <v>Day</v>
      </c>
      <c r="C249" t="s">
        <v>3776</v>
      </c>
      <c r="D249" s="470" t="s">
        <v>8260</v>
      </c>
      <c r="E249" s="470" t="s">
        <v>8720</v>
      </c>
      <c r="F249" s="471" t="s">
        <v>7790</v>
      </c>
      <c r="G249" t="s">
        <v>9297</v>
      </c>
      <c r="H249" s="89" t="s">
        <v>6048</v>
      </c>
      <c r="I249" s="89" t="s">
        <v>5951</v>
      </c>
      <c r="J249" s="89" t="s">
        <v>5863</v>
      </c>
      <c r="K249" s="456" t="s">
        <v>5774</v>
      </c>
    </row>
    <row r="250" spans="1:11" ht="28.8" x14ac:dyDescent="0.3">
      <c r="A250" t="s">
        <v>4201</v>
      </c>
      <c r="B250" s="423" t="str">
        <f t="shared" si="7"/>
        <v>B3 - Greenhouse gas emission intensity per turnover (in tCO2e)</v>
      </c>
      <c r="C250" t="s">
        <v>4011</v>
      </c>
      <c r="D250" s="470" t="s">
        <v>8261</v>
      </c>
      <c r="E250" s="470" t="s">
        <v>8721</v>
      </c>
      <c r="F250" s="471" t="s">
        <v>7791</v>
      </c>
      <c r="G250" t="s">
        <v>9298</v>
      </c>
      <c r="H250" s="89" t="s">
        <v>6976</v>
      </c>
      <c r="I250" s="89" t="s">
        <v>6285</v>
      </c>
      <c r="J250" s="89" t="s">
        <v>7330</v>
      </c>
      <c r="K250" s="456" t="s">
        <v>6634</v>
      </c>
    </row>
    <row r="251" spans="1:11" ht="28.8" x14ac:dyDescent="0.3">
      <c r="A251" t="s">
        <v>4202</v>
      </c>
      <c r="B251" s="423" t="str">
        <f t="shared" si="7"/>
        <v>Scope 1 and Scope 2 GHG Emissions intensity (location-based)</v>
      </c>
      <c r="C251" t="s">
        <v>4012</v>
      </c>
      <c r="D251" s="470" t="s">
        <v>8262</v>
      </c>
      <c r="E251" s="470" t="s">
        <v>8722</v>
      </c>
      <c r="F251" s="471" t="s">
        <v>7792</v>
      </c>
      <c r="G251" t="s">
        <v>9299</v>
      </c>
      <c r="H251" s="89" t="s">
        <v>6977</v>
      </c>
      <c r="I251" s="89" t="s">
        <v>6286</v>
      </c>
      <c r="J251" s="89" t="s">
        <v>7331</v>
      </c>
      <c r="K251" s="456" t="s">
        <v>6635</v>
      </c>
    </row>
    <row r="252" spans="1:11" ht="28.8" x14ac:dyDescent="0.3">
      <c r="A252" t="s">
        <v>4203</v>
      </c>
      <c r="B252" s="423" t="str">
        <f t="shared" si="7"/>
        <v>Scope 1 and Scope 2 GHG Emissions intensity (market-based)</v>
      </c>
      <c r="C252" t="s">
        <v>4013</v>
      </c>
      <c r="D252" s="470" t="s">
        <v>8263</v>
      </c>
      <c r="E252" s="470" t="s">
        <v>8723</v>
      </c>
      <c r="F252" s="471" t="s">
        <v>7793</v>
      </c>
      <c r="G252" t="s">
        <v>9300</v>
      </c>
      <c r="H252" s="89" t="s">
        <v>6978</v>
      </c>
      <c r="I252" s="89" t="s">
        <v>6287</v>
      </c>
      <c r="J252" s="89" t="s">
        <v>7332</v>
      </c>
      <c r="K252" s="456" t="s">
        <v>6636</v>
      </c>
    </row>
    <row r="253" spans="1:11" ht="28.8" x14ac:dyDescent="0.3">
      <c r="A253" t="s">
        <v>4204</v>
      </c>
      <c r="B253" s="423" t="str">
        <f t="shared" si="7"/>
        <v>Total Scope 1 Scope 2 and Scope 3 GHG Emissions intensity (location-based)</v>
      </c>
      <c r="C253" t="s">
        <v>4036</v>
      </c>
      <c r="D253" s="470" t="s">
        <v>8264</v>
      </c>
      <c r="E253" s="470" t="s">
        <v>8724</v>
      </c>
      <c r="F253" s="471" t="s">
        <v>7794</v>
      </c>
      <c r="G253" t="s">
        <v>9301</v>
      </c>
      <c r="H253" s="89" t="s">
        <v>6979</v>
      </c>
      <c r="I253" s="89" t="s">
        <v>6288</v>
      </c>
      <c r="J253" s="89" t="s">
        <v>7333</v>
      </c>
      <c r="K253" s="456" t="s">
        <v>6637</v>
      </c>
    </row>
    <row r="254" spans="1:11" s="12" customFormat="1" ht="29.4" thickBot="1" x14ac:dyDescent="0.35">
      <c r="A254" s="12" t="s">
        <v>4205</v>
      </c>
      <c r="B254" s="457" t="str">
        <f t="shared" si="7"/>
        <v>Total Scope 1 Scope 2 and Scope 3 GHG Emissions intensity (market-based)</v>
      </c>
      <c r="C254" s="12" t="s">
        <v>4037</v>
      </c>
      <c r="D254" s="478" t="s">
        <v>8265</v>
      </c>
      <c r="E254" s="478" t="s">
        <v>8725</v>
      </c>
      <c r="F254" s="472" t="s">
        <v>7795</v>
      </c>
      <c r="G254" s="12" t="s">
        <v>9302</v>
      </c>
      <c r="H254" s="424" t="s">
        <v>6980</v>
      </c>
      <c r="I254" s="424" t="s">
        <v>6289</v>
      </c>
      <c r="J254" s="424" t="s">
        <v>7334</v>
      </c>
      <c r="K254" s="476" t="s">
        <v>6638</v>
      </c>
    </row>
    <row r="255" spans="1:11" x14ac:dyDescent="0.3">
      <c r="A255" t="s">
        <v>4206</v>
      </c>
      <c r="B255" s="423" t="str">
        <f t="shared" si="7"/>
        <v>B4 – Pollution of air water and soil</v>
      </c>
      <c r="C255" t="s">
        <v>4038</v>
      </c>
      <c r="D255" s="470" t="s">
        <v>8266</v>
      </c>
      <c r="E255" s="470" t="s">
        <v>8726</v>
      </c>
      <c r="F255" s="471" t="s">
        <v>7796</v>
      </c>
      <c r="G255" t="s">
        <v>9303</v>
      </c>
      <c r="H255" s="89" t="s">
        <v>6017</v>
      </c>
      <c r="I255" s="89" t="s">
        <v>5952</v>
      </c>
      <c r="J255" s="89" t="s">
        <v>7214</v>
      </c>
      <c r="K255" s="456" t="s">
        <v>6554</v>
      </c>
    </row>
    <row r="256" spans="1:11" ht="72" x14ac:dyDescent="0.3">
      <c r="A256" t="s">
        <v>4207</v>
      </c>
      <c r="B256" s="423" t="str">
        <f t="shared" si="7"/>
        <v>Is the undertaking already required by law or other national regulations to report to competent authorities its emissions of pollutants or does it already voluntarily report on them according to an Environmental Management System?</v>
      </c>
      <c r="C256" t="s">
        <v>4039</v>
      </c>
      <c r="D256" s="470" t="s">
        <v>8267</v>
      </c>
      <c r="E256" s="470" t="s">
        <v>8727</v>
      </c>
      <c r="F256" s="471" t="s">
        <v>7797</v>
      </c>
      <c r="G256" t="s">
        <v>9304</v>
      </c>
      <c r="H256" s="89" t="s">
        <v>6981</v>
      </c>
      <c r="I256" s="89" t="s">
        <v>6290</v>
      </c>
      <c r="J256" s="89" t="s">
        <v>7335</v>
      </c>
      <c r="K256" s="456" t="s">
        <v>6639</v>
      </c>
    </row>
    <row r="257" spans="1:11" ht="28.8" x14ac:dyDescent="0.3">
      <c r="A257" t="s">
        <v>4208</v>
      </c>
      <c r="B257" s="423" t="str">
        <f t="shared" si="7"/>
        <v>Is this disclosure already publicly available?</v>
      </c>
      <c r="C257" t="s">
        <v>3072</v>
      </c>
      <c r="D257" s="470" t="s">
        <v>8268</v>
      </c>
      <c r="E257" s="470" t="s">
        <v>8728</v>
      </c>
      <c r="F257" s="471" t="s">
        <v>7798</v>
      </c>
      <c r="G257" t="s">
        <v>9305</v>
      </c>
      <c r="H257" s="89" t="s">
        <v>6018</v>
      </c>
      <c r="I257" s="89" t="s">
        <v>6291</v>
      </c>
      <c r="J257" s="89" t="s">
        <v>5864</v>
      </c>
      <c r="K257" s="456" t="s">
        <v>6640</v>
      </c>
    </row>
    <row r="258" spans="1:11" ht="28.8" x14ac:dyDescent="0.3">
      <c r="A258" t="s">
        <v>4209</v>
      </c>
      <c r="B258" s="423" t="str">
        <f t="shared" si="7"/>
        <v>Please provide the relevant URL link or hyperlink of where this information is reported</v>
      </c>
      <c r="C258" t="s">
        <v>3975</v>
      </c>
      <c r="D258" s="470" t="s">
        <v>8269</v>
      </c>
      <c r="E258" s="470" t="s">
        <v>8729</v>
      </c>
      <c r="F258" s="471" t="s">
        <v>7799</v>
      </c>
      <c r="G258" t="s">
        <v>9306</v>
      </c>
      <c r="H258" s="89" t="s">
        <v>6982</v>
      </c>
      <c r="I258" s="89" t="s">
        <v>6292</v>
      </c>
      <c r="J258" s="89" t="s">
        <v>7336</v>
      </c>
      <c r="K258" s="456" t="s">
        <v>6641</v>
      </c>
    </row>
    <row r="259" spans="1:11" ht="28.8" x14ac:dyDescent="0.3">
      <c r="A259" t="s">
        <v>4210</v>
      </c>
      <c r="B259" s="423" t="str">
        <f t="shared" si="7"/>
        <v>Please select the unit used for reporting the amount (i.e. either kg or tonne)</v>
      </c>
      <c r="C259" t="s">
        <v>3069</v>
      </c>
      <c r="D259" s="470" t="s">
        <v>8270</v>
      </c>
      <c r="E259" s="470" t="s">
        <v>8730</v>
      </c>
      <c r="F259" s="471" t="s">
        <v>7800</v>
      </c>
      <c r="G259" t="s">
        <v>9307</v>
      </c>
      <c r="H259" s="89" t="s">
        <v>6983</v>
      </c>
      <c r="I259" s="89" t="s">
        <v>6293</v>
      </c>
      <c r="J259" s="89" t="s">
        <v>7337</v>
      </c>
      <c r="K259" s="456" t="s">
        <v>6642</v>
      </c>
    </row>
    <row r="260" spans="1:11" x14ac:dyDescent="0.3">
      <c r="A260" t="s">
        <v>4211</v>
      </c>
      <c r="B260" s="423" t="str">
        <f t="shared" ref="B260:B323" si="8">INDEX(C260:K260,MATCH(template_selected_display_language,$C$3:$K$3,0))</f>
        <v>Row ID</v>
      </c>
      <c r="C260" t="s">
        <v>15</v>
      </c>
      <c r="D260" s="470" t="s">
        <v>8271</v>
      </c>
      <c r="E260" s="470" t="s">
        <v>8731</v>
      </c>
      <c r="F260" s="471" t="s">
        <v>7801</v>
      </c>
      <c r="G260" t="s">
        <v>9308</v>
      </c>
      <c r="H260" s="89" t="s">
        <v>6019</v>
      </c>
      <c r="I260" s="89" t="s">
        <v>5953</v>
      </c>
      <c r="J260" s="89" t="s">
        <v>5865</v>
      </c>
      <c r="K260" s="456" t="s">
        <v>5775</v>
      </c>
    </row>
    <row r="261" spans="1:11" ht="43.2" x14ac:dyDescent="0.3">
      <c r="A261" t="s">
        <v>4212</v>
      </c>
      <c r="B261" s="423" t="str">
        <f t="shared" si="8"/>
        <v>Pollutant</v>
      </c>
      <c r="C261" t="s">
        <v>3976</v>
      </c>
      <c r="D261" s="470" t="s">
        <v>8272</v>
      </c>
      <c r="E261" s="470" t="s">
        <v>8732</v>
      </c>
      <c r="F261" s="471" t="s">
        <v>7802</v>
      </c>
      <c r="G261" t="s">
        <v>9309</v>
      </c>
      <c r="H261" s="89" t="s">
        <v>6059</v>
      </c>
      <c r="I261" s="89" t="s">
        <v>6294</v>
      </c>
      <c r="J261" s="89" t="s">
        <v>5866</v>
      </c>
      <c r="K261" s="456" t="s">
        <v>5776</v>
      </c>
    </row>
    <row r="262" spans="1:11" x14ac:dyDescent="0.3">
      <c r="A262" t="s">
        <v>4213</v>
      </c>
      <c r="B262" s="423" t="str">
        <f t="shared" si="8"/>
        <v>Emission to air</v>
      </c>
      <c r="C262" t="s">
        <v>3977</v>
      </c>
      <c r="D262" s="470" t="s">
        <v>8273</v>
      </c>
      <c r="E262" s="470" t="s">
        <v>8733</v>
      </c>
      <c r="F262" s="471" t="s">
        <v>7803</v>
      </c>
      <c r="G262" t="s">
        <v>9310</v>
      </c>
      <c r="H262" s="89" t="s">
        <v>6984</v>
      </c>
      <c r="I262" s="89" t="s">
        <v>6073</v>
      </c>
      <c r="J262" s="89" t="s">
        <v>7338</v>
      </c>
      <c r="K262" s="456" t="s">
        <v>6489</v>
      </c>
    </row>
    <row r="263" spans="1:11" x14ac:dyDescent="0.3">
      <c r="A263" t="s">
        <v>4214</v>
      </c>
      <c r="B263" s="423" t="str">
        <f t="shared" si="8"/>
        <v>Emission to water</v>
      </c>
      <c r="C263" t="s">
        <v>3978</v>
      </c>
      <c r="D263" s="470" t="s">
        <v>8274</v>
      </c>
      <c r="E263" s="470" t="s">
        <v>8734</v>
      </c>
      <c r="F263" s="471" t="s">
        <v>7804</v>
      </c>
      <c r="G263" t="s">
        <v>9311</v>
      </c>
      <c r="H263" s="89" t="s">
        <v>6985</v>
      </c>
      <c r="I263" s="89" t="s">
        <v>5954</v>
      </c>
      <c r="J263" s="89" t="s">
        <v>5867</v>
      </c>
      <c r="K263" s="456" t="s">
        <v>6490</v>
      </c>
    </row>
    <row r="264" spans="1:11" s="12" customFormat="1" ht="15" thickBot="1" x14ac:dyDescent="0.35">
      <c r="A264" s="12" t="s">
        <v>4215</v>
      </c>
      <c r="B264" s="457" t="str">
        <f t="shared" si="8"/>
        <v>Emission to soil</v>
      </c>
      <c r="C264" s="12" t="s">
        <v>3979</v>
      </c>
      <c r="D264" s="478" t="s">
        <v>8275</v>
      </c>
      <c r="E264" s="478" t="s">
        <v>8735</v>
      </c>
      <c r="F264" s="472" t="s">
        <v>7805</v>
      </c>
      <c r="G264" s="12" t="s">
        <v>9312</v>
      </c>
      <c r="H264" s="424" t="s">
        <v>6986</v>
      </c>
      <c r="I264" s="424" t="s">
        <v>5955</v>
      </c>
      <c r="J264" s="424" t="s">
        <v>5868</v>
      </c>
      <c r="K264" s="476" t="s">
        <v>6491</v>
      </c>
    </row>
    <row r="265" spans="1:11" ht="28.8" x14ac:dyDescent="0.3">
      <c r="A265" t="s">
        <v>4216</v>
      </c>
      <c r="B265" s="423" t="str">
        <f t="shared" si="8"/>
        <v>B5 - Sites in biodiversity sensitive areas</v>
      </c>
      <c r="C265" t="s">
        <v>4014</v>
      </c>
      <c r="D265" s="470" t="s">
        <v>8276</v>
      </c>
      <c r="E265" s="470" t="s">
        <v>8736</v>
      </c>
      <c r="F265" s="471" t="s">
        <v>7806</v>
      </c>
      <c r="G265" t="s">
        <v>9313</v>
      </c>
      <c r="H265" s="89" t="s">
        <v>6987</v>
      </c>
      <c r="I265" s="89" t="s">
        <v>6295</v>
      </c>
      <c r="J265" s="89" t="s">
        <v>7339</v>
      </c>
      <c r="K265" s="456" t="s">
        <v>6643</v>
      </c>
    </row>
    <row r="266" spans="1:11" ht="43.2" x14ac:dyDescent="0.3">
      <c r="A266" t="s">
        <v>4217</v>
      </c>
      <c r="B266" s="423" t="str">
        <f t="shared" si="8"/>
        <v>Does the undertaking have sites that are located in or near biodiversity sensitive areas?</v>
      </c>
      <c r="C266" t="s">
        <v>3088</v>
      </c>
      <c r="D266" s="470" t="s">
        <v>8277</v>
      </c>
      <c r="E266" s="470" t="s">
        <v>8737</v>
      </c>
      <c r="F266" s="471" t="s">
        <v>7807</v>
      </c>
      <c r="G266" t="s">
        <v>9314</v>
      </c>
      <c r="H266" s="89" t="s">
        <v>6988</v>
      </c>
      <c r="I266" s="89" t="s">
        <v>6296</v>
      </c>
      <c r="J266" s="89" t="s">
        <v>7340</v>
      </c>
      <c r="K266" s="456" t="s">
        <v>6644</v>
      </c>
    </row>
    <row r="267" spans="1:11" ht="28.8" x14ac:dyDescent="0.3">
      <c r="A267" t="s">
        <v>4218</v>
      </c>
      <c r="B267" s="423" t="str">
        <f t="shared" si="8"/>
        <v>Please select the unit used for the area (i.e. either hectares or m²):</v>
      </c>
      <c r="C267" t="s">
        <v>3067</v>
      </c>
      <c r="D267" s="470" t="s">
        <v>8278</v>
      </c>
      <c r="E267" s="470" t="s">
        <v>8738</v>
      </c>
      <c r="F267" s="471" t="s">
        <v>7808</v>
      </c>
      <c r="G267" t="s">
        <v>9315</v>
      </c>
      <c r="H267" s="89" t="s">
        <v>6989</v>
      </c>
      <c r="I267" s="89" t="s">
        <v>6297</v>
      </c>
      <c r="J267" s="89" t="s">
        <v>7341</v>
      </c>
      <c r="K267" s="456" t="s">
        <v>6645</v>
      </c>
    </row>
    <row r="268" spans="1:11" ht="28.8" x14ac:dyDescent="0.3">
      <c r="A268" t="s">
        <v>4219</v>
      </c>
      <c r="B268" s="423" t="str">
        <f t="shared" si="8"/>
        <v>Related Site ID (select an ID from a site location reported in B1)</v>
      </c>
      <c r="C268" t="s">
        <v>3545</v>
      </c>
      <c r="D268" s="470" t="s">
        <v>8279</v>
      </c>
      <c r="E268" s="470" t="s">
        <v>8739</v>
      </c>
      <c r="F268" s="471" t="s">
        <v>7809</v>
      </c>
      <c r="G268" t="s">
        <v>9316</v>
      </c>
      <c r="H268" s="89" t="s">
        <v>6990</v>
      </c>
      <c r="I268" s="89" t="s">
        <v>6298</v>
      </c>
      <c r="J268" s="89" t="s">
        <v>7342</v>
      </c>
      <c r="K268" s="456" t="s">
        <v>6646</v>
      </c>
    </row>
    <row r="269" spans="1:11" ht="57.6" x14ac:dyDescent="0.3">
      <c r="A269" t="s">
        <v>4220</v>
      </c>
      <c r="B269" s="423" t="str">
        <f t="shared" si="8"/>
        <v>Site Location in near a biodiversity area - auto filled from B1</v>
      </c>
      <c r="C269" t="s">
        <v>4056</v>
      </c>
      <c r="D269" s="470" t="s">
        <v>8280</v>
      </c>
      <c r="E269" s="470" t="s">
        <v>8740</v>
      </c>
      <c r="F269" s="471" t="s">
        <v>7810</v>
      </c>
      <c r="G269" t="s">
        <v>9317</v>
      </c>
      <c r="H269" s="89" t="s">
        <v>6991</v>
      </c>
      <c r="I269" s="89" t="s">
        <v>6299</v>
      </c>
      <c r="J269" s="89" t="s">
        <v>7343</v>
      </c>
      <c r="K269" s="456" t="s">
        <v>6647</v>
      </c>
    </row>
    <row r="270" spans="1:11" x14ac:dyDescent="0.3">
      <c r="A270" t="s">
        <v>4221</v>
      </c>
      <c r="B270" s="423" t="str">
        <f t="shared" si="8"/>
        <v>Area (hectares or m² based on the selection above)</v>
      </c>
      <c r="C270" t="s">
        <v>3065</v>
      </c>
      <c r="D270" s="470" t="s">
        <v>8281</v>
      </c>
      <c r="E270" s="470" t="s">
        <v>8741</v>
      </c>
      <c r="F270" s="471" t="s">
        <v>7811</v>
      </c>
      <c r="G270" t="s">
        <v>9318</v>
      </c>
      <c r="H270" s="89" t="s">
        <v>6992</v>
      </c>
      <c r="I270" s="89" t="s">
        <v>6300</v>
      </c>
      <c r="J270" s="89" t="s">
        <v>5869</v>
      </c>
      <c r="K270" s="456" t="s">
        <v>6648</v>
      </c>
    </row>
    <row r="271" spans="1:11" ht="28.8" x14ac:dyDescent="0.3">
      <c r="A271" t="s">
        <v>4222</v>
      </c>
      <c r="B271" s="423" t="str">
        <f t="shared" si="8"/>
        <v>Site located in a biodiversity sensitive area</v>
      </c>
      <c r="C271" t="s">
        <v>2915</v>
      </c>
      <c r="D271" s="470" t="s">
        <v>8282</v>
      </c>
      <c r="E271" s="470" t="s">
        <v>8742</v>
      </c>
      <c r="F271" s="471" t="s">
        <v>7812</v>
      </c>
      <c r="G271" t="s">
        <v>9319</v>
      </c>
      <c r="H271" s="89" t="s">
        <v>6993</v>
      </c>
      <c r="I271" s="89" t="s">
        <v>6301</v>
      </c>
      <c r="J271" s="89" t="s">
        <v>5870</v>
      </c>
      <c r="K271" s="456" t="s">
        <v>6649</v>
      </c>
    </row>
    <row r="272" spans="1:11" s="12" customFormat="1" ht="29.4" thickBot="1" x14ac:dyDescent="0.35">
      <c r="A272" s="12" t="s">
        <v>4223</v>
      </c>
      <c r="B272" s="457" t="str">
        <f t="shared" si="8"/>
        <v>Site located near a biodiversity sensitive area</v>
      </c>
      <c r="C272" s="12" t="s">
        <v>2916</v>
      </c>
      <c r="D272" s="478" t="s">
        <v>8283</v>
      </c>
      <c r="E272" s="478" t="s">
        <v>8743</v>
      </c>
      <c r="F272" s="472" t="s">
        <v>7813</v>
      </c>
      <c r="G272" s="12" t="s">
        <v>9320</v>
      </c>
      <c r="H272" s="424" t="s">
        <v>6994</v>
      </c>
      <c r="I272" s="424" t="s">
        <v>6302</v>
      </c>
      <c r="J272" s="424" t="s">
        <v>7344</v>
      </c>
      <c r="K272" s="476" t="s">
        <v>6650</v>
      </c>
    </row>
    <row r="273" spans="1:11" x14ac:dyDescent="0.3">
      <c r="A273" t="s">
        <v>4224</v>
      </c>
      <c r="B273" s="423" t="str">
        <f t="shared" si="8"/>
        <v>B5 - Biodiversity - Land-use</v>
      </c>
      <c r="C273" t="s">
        <v>4015</v>
      </c>
      <c r="D273" s="470" t="s">
        <v>8284</v>
      </c>
      <c r="E273" s="470" t="s">
        <v>8744</v>
      </c>
      <c r="F273" s="471" t="s">
        <v>7814</v>
      </c>
      <c r="G273" t="s">
        <v>9321</v>
      </c>
      <c r="H273" s="89" t="s">
        <v>6020</v>
      </c>
      <c r="I273" s="89" t="s">
        <v>6303</v>
      </c>
      <c r="J273" s="89" t="s">
        <v>7345</v>
      </c>
      <c r="K273" s="456" t="s">
        <v>6651</v>
      </c>
    </row>
    <row r="274" spans="1:11" x14ac:dyDescent="0.3">
      <c r="A274" t="s">
        <v>4225</v>
      </c>
      <c r="B274" s="423" t="str">
        <f t="shared" si="8"/>
        <v>Land-use type</v>
      </c>
      <c r="C274" t="s">
        <v>17</v>
      </c>
      <c r="D274" s="470" t="s">
        <v>8285</v>
      </c>
      <c r="E274" s="481" t="s">
        <v>8745</v>
      </c>
      <c r="F274" s="471" t="s">
        <v>7815</v>
      </c>
      <c r="G274" t="s">
        <v>9322</v>
      </c>
      <c r="H274" s="89" t="s">
        <v>6060</v>
      </c>
      <c r="I274" s="89" t="s">
        <v>6304</v>
      </c>
      <c r="J274" s="89" t="s">
        <v>5871</v>
      </c>
      <c r="K274" s="456" t="s">
        <v>6652</v>
      </c>
    </row>
    <row r="275" spans="1:11" x14ac:dyDescent="0.3">
      <c r="A275" t="s">
        <v>4226</v>
      </c>
      <c r="B275" s="423" t="str">
        <f t="shared" si="8"/>
        <v>Area</v>
      </c>
      <c r="C275" t="s">
        <v>3532</v>
      </c>
      <c r="D275" s="470" t="s">
        <v>8286</v>
      </c>
      <c r="E275" s="456" t="s">
        <v>8746</v>
      </c>
      <c r="F275" s="471" t="s">
        <v>7816</v>
      </c>
      <c r="G275" t="s">
        <v>9323</v>
      </c>
      <c r="H275" s="89" t="s">
        <v>6995</v>
      </c>
      <c r="I275" s="89" t="s">
        <v>6305</v>
      </c>
      <c r="J275" s="89" t="s">
        <v>5777</v>
      </c>
      <c r="K275" s="456" t="s">
        <v>5777</v>
      </c>
    </row>
    <row r="276" spans="1:11" x14ac:dyDescent="0.3">
      <c r="A276" t="s">
        <v>4227</v>
      </c>
      <c r="B276" s="423" t="str">
        <f t="shared" si="8"/>
        <v>Total sealed area</v>
      </c>
      <c r="C276" t="s">
        <v>18</v>
      </c>
      <c r="D276" s="470" t="s">
        <v>8287</v>
      </c>
      <c r="E276" s="470" t="s">
        <v>8747</v>
      </c>
      <c r="F276" s="471" t="s">
        <v>7817</v>
      </c>
      <c r="G276" t="s">
        <v>9324</v>
      </c>
      <c r="H276" s="89" t="s">
        <v>6996</v>
      </c>
      <c r="I276" s="89" t="s">
        <v>6306</v>
      </c>
      <c r="J276" s="89" t="s">
        <v>7346</v>
      </c>
      <c r="K276" s="456" t="s">
        <v>6653</v>
      </c>
    </row>
    <row r="277" spans="1:11" ht="28.8" x14ac:dyDescent="0.3">
      <c r="A277" t="s">
        <v>4228</v>
      </c>
      <c r="B277" s="423" t="str">
        <f t="shared" si="8"/>
        <v>Total nature-oriented area on-site</v>
      </c>
      <c r="C277" t="s">
        <v>3980</v>
      </c>
      <c r="D277" s="470" t="s">
        <v>8288</v>
      </c>
      <c r="E277" s="470" t="s">
        <v>8748</v>
      </c>
      <c r="F277" s="471" t="s">
        <v>7818</v>
      </c>
      <c r="G277" t="s">
        <v>9325</v>
      </c>
      <c r="H277" s="89" t="s">
        <v>6997</v>
      </c>
      <c r="I277" s="89" t="s">
        <v>6307</v>
      </c>
      <c r="J277" s="89" t="s">
        <v>7347</v>
      </c>
      <c r="K277" s="456" t="s">
        <v>6654</v>
      </c>
    </row>
    <row r="278" spans="1:11" ht="28.8" x14ac:dyDescent="0.3">
      <c r="A278" t="s">
        <v>4229</v>
      </c>
      <c r="B278" s="423" t="str">
        <f t="shared" si="8"/>
        <v>Total nature-oriented area off-site</v>
      </c>
      <c r="C278" t="s">
        <v>3981</v>
      </c>
      <c r="D278" s="470" t="s">
        <v>8289</v>
      </c>
      <c r="E278" s="470" t="s">
        <v>8749</v>
      </c>
      <c r="F278" s="471" t="s">
        <v>7819</v>
      </c>
      <c r="G278" t="s">
        <v>9326</v>
      </c>
      <c r="H278" s="89" t="s">
        <v>6998</v>
      </c>
      <c r="I278" s="89" t="s">
        <v>6308</v>
      </c>
      <c r="J278" s="89" t="s">
        <v>7348</v>
      </c>
      <c r="K278" s="456" t="s">
        <v>6655</v>
      </c>
    </row>
    <row r="279" spans="1:11" s="12" customFormat="1" ht="15" thickBot="1" x14ac:dyDescent="0.35">
      <c r="A279" s="12" t="s">
        <v>4230</v>
      </c>
      <c r="B279" s="457" t="str">
        <f t="shared" si="8"/>
        <v>Total use of land</v>
      </c>
      <c r="C279" s="12" t="s">
        <v>19</v>
      </c>
      <c r="D279" s="478" t="s">
        <v>8290</v>
      </c>
      <c r="E279" s="478" t="s">
        <v>8750</v>
      </c>
      <c r="F279" s="472" t="s">
        <v>7820</v>
      </c>
      <c r="G279" s="12" t="s">
        <v>9327</v>
      </c>
      <c r="H279" s="424" t="s">
        <v>6021</v>
      </c>
      <c r="I279" s="424" t="s">
        <v>6309</v>
      </c>
      <c r="J279" s="424" t="s">
        <v>7349</v>
      </c>
      <c r="K279" s="476" t="s">
        <v>5778</v>
      </c>
    </row>
    <row r="280" spans="1:11" x14ac:dyDescent="0.3">
      <c r="A280" t="s">
        <v>4231</v>
      </c>
      <c r="B280" s="423" t="str">
        <f t="shared" si="8"/>
        <v>B6 - Water Withdrawal</v>
      </c>
      <c r="C280" t="s">
        <v>4016</v>
      </c>
      <c r="D280" s="470" t="s">
        <v>8291</v>
      </c>
      <c r="E280" s="470" t="s">
        <v>8751</v>
      </c>
      <c r="F280" s="471" t="s">
        <v>7821</v>
      </c>
      <c r="G280" t="s">
        <v>9328</v>
      </c>
      <c r="H280" s="89" t="s">
        <v>6999</v>
      </c>
      <c r="I280" s="89" t="s">
        <v>6310</v>
      </c>
      <c r="J280" s="89" t="s">
        <v>7350</v>
      </c>
      <c r="K280" s="456" t="s">
        <v>5714</v>
      </c>
    </row>
    <row r="281" spans="1:11" ht="28.8" x14ac:dyDescent="0.3">
      <c r="A281" t="s">
        <v>4232</v>
      </c>
      <c r="B281" s="423" t="str">
        <f t="shared" si="8"/>
        <v>Total amount of water withdrawn from all sites (cubic meters m³)</v>
      </c>
      <c r="C281" t="s">
        <v>4040</v>
      </c>
      <c r="D281" s="470" t="s">
        <v>8292</v>
      </c>
      <c r="E281" s="470" t="s">
        <v>8752</v>
      </c>
      <c r="F281" s="471" t="s">
        <v>7822</v>
      </c>
      <c r="G281" t="s">
        <v>9329</v>
      </c>
      <c r="H281" s="89" t="s">
        <v>7000</v>
      </c>
      <c r="I281" s="89" t="s">
        <v>6311</v>
      </c>
      <c r="J281" s="89" t="s">
        <v>7351</v>
      </c>
      <c r="K281" s="456" t="s">
        <v>6656</v>
      </c>
    </row>
    <row r="282" spans="1:11" s="12" customFormat="1" ht="29.4" thickBot="1" x14ac:dyDescent="0.35">
      <c r="A282" s="12" t="s">
        <v>4233</v>
      </c>
      <c r="B282" s="457" t="str">
        <f t="shared" si="8"/>
        <v>Amount of water withdrawn at sites located in areas of high water-stress (cubic meters m³)</v>
      </c>
      <c r="C282" s="12" t="s">
        <v>4041</v>
      </c>
      <c r="D282" s="478" t="s">
        <v>8293</v>
      </c>
      <c r="E282" s="478" t="s">
        <v>8753</v>
      </c>
      <c r="F282" s="472" t="s">
        <v>7823</v>
      </c>
      <c r="G282" s="12" t="s">
        <v>9330</v>
      </c>
      <c r="H282" s="424" t="s">
        <v>7001</v>
      </c>
      <c r="I282" s="424" t="s">
        <v>6312</v>
      </c>
      <c r="J282" s="424" t="s">
        <v>7352</v>
      </c>
      <c r="K282" s="476" t="s">
        <v>6657</v>
      </c>
    </row>
    <row r="283" spans="1:11" ht="28.8" x14ac:dyDescent="0.3">
      <c r="A283" t="s">
        <v>4234</v>
      </c>
      <c r="B283" s="423" t="str">
        <f t="shared" si="8"/>
        <v>B6 - Water Consumption</v>
      </c>
      <c r="C283" t="s">
        <v>4017</v>
      </c>
      <c r="D283" s="470" t="s">
        <v>8294</v>
      </c>
      <c r="E283" s="470" t="s">
        <v>8754</v>
      </c>
      <c r="F283" s="471" t="s">
        <v>7824</v>
      </c>
      <c r="G283" t="s">
        <v>9331</v>
      </c>
      <c r="H283" s="89" t="s">
        <v>7002</v>
      </c>
      <c r="I283" s="89" t="s">
        <v>6074</v>
      </c>
      <c r="J283" s="89" t="s">
        <v>7353</v>
      </c>
      <c r="K283" s="456" t="s">
        <v>6658</v>
      </c>
    </row>
    <row r="284" spans="1:11" ht="86.4" x14ac:dyDescent="0.3">
      <c r="A284" t="s">
        <v>4235</v>
      </c>
      <c r="B284" s="423" t="str">
        <f t="shared" si="8"/>
        <v>Does the undertaking have production processes in place which significantly consume water (e.g. thermal energy processes like drying or power production production of goods agricultural irrigation etc.)?</v>
      </c>
      <c r="C284" t="s">
        <v>4042</v>
      </c>
      <c r="D284" s="470" t="s">
        <v>8295</v>
      </c>
      <c r="E284" s="470" t="s">
        <v>8755</v>
      </c>
      <c r="F284" s="471" t="s">
        <v>7825</v>
      </c>
      <c r="G284" t="s">
        <v>9332</v>
      </c>
      <c r="H284" s="89" t="s">
        <v>7003</v>
      </c>
      <c r="I284" s="89" t="s">
        <v>6313</v>
      </c>
      <c r="J284" s="89" t="s">
        <v>7354</v>
      </c>
      <c r="K284" s="456" t="s">
        <v>6659</v>
      </c>
    </row>
    <row r="285" spans="1:11" ht="28.8" x14ac:dyDescent="0.3">
      <c r="A285" t="s">
        <v>4236</v>
      </c>
      <c r="B285" s="423" t="str">
        <f t="shared" si="8"/>
        <v>Water discharge from undertaking production processes (m³)</v>
      </c>
      <c r="C285" t="s">
        <v>3533</v>
      </c>
      <c r="D285" s="470" t="s">
        <v>8296</v>
      </c>
      <c r="E285" s="470" t="s">
        <v>8756</v>
      </c>
      <c r="F285" s="471" t="s">
        <v>7826</v>
      </c>
      <c r="G285" t="s">
        <v>9333</v>
      </c>
      <c r="H285" s="89" t="s">
        <v>7004</v>
      </c>
      <c r="I285" s="89" t="s">
        <v>6314</v>
      </c>
      <c r="J285" s="89" t="s">
        <v>7355</v>
      </c>
      <c r="K285" s="456" t="s">
        <v>6660</v>
      </c>
    </row>
    <row r="286" spans="1:11" s="12" customFormat="1" ht="15" thickBot="1" x14ac:dyDescent="0.35">
      <c r="A286" s="12" t="s">
        <v>4237</v>
      </c>
      <c r="B286" s="457" t="str">
        <f t="shared" si="8"/>
        <v>Total water consumption (m³)</v>
      </c>
      <c r="C286" s="12" t="s">
        <v>3606</v>
      </c>
      <c r="D286" s="478" t="s">
        <v>8297</v>
      </c>
      <c r="E286" s="478" t="s">
        <v>8757</v>
      </c>
      <c r="F286" s="472" t="s">
        <v>7827</v>
      </c>
      <c r="G286" s="12" t="s">
        <v>9334</v>
      </c>
      <c r="H286" s="424" t="s">
        <v>6022</v>
      </c>
      <c r="I286" s="424" t="s">
        <v>6075</v>
      </c>
      <c r="J286" s="424" t="s">
        <v>5872</v>
      </c>
      <c r="K286" s="476" t="s">
        <v>6099</v>
      </c>
    </row>
    <row r="287" spans="1:11" x14ac:dyDescent="0.3">
      <c r="A287" t="s">
        <v>4238</v>
      </c>
      <c r="B287" s="423" t="str">
        <f t="shared" si="8"/>
        <v>B7 - Description of circular economy principles</v>
      </c>
      <c r="C287" t="s">
        <v>4018</v>
      </c>
      <c r="D287" s="470" t="s">
        <v>8298</v>
      </c>
      <c r="E287" s="470" t="s">
        <v>8758</v>
      </c>
      <c r="F287" s="471" t="s">
        <v>7828</v>
      </c>
      <c r="G287" t="s">
        <v>9335</v>
      </c>
      <c r="H287" s="89" t="s">
        <v>6023</v>
      </c>
      <c r="I287" s="89" t="s">
        <v>6315</v>
      </c>
      <c r="J287" s="89" t="s">
        <v>5873</v>
      </c>
      <c r="K287" s="456" t="s">
        <v>6661</v>
      </c>
    </row>
    <row r="288" spans="1:11" ht="28.8" x14ac:dyDescent="0.3">
      <c r="A288" t="s">
        <v>4239</v>
      </c>
      <c r="B288" s="423" t="str">
        <f t="shared" si="8"/>
        <v>Undertaking applies circular economy principles</v>
      </c>
      <c r="C288" t="s">
        <v>3540</v>
      </c>
      <c r="D288" s="470" t="s">
        <v>8299</v>
      </c>
      <c r="E288" s="470" t="s">
        <v>8759</v>
      </c>
      <c r="F288" s="471" t="s">
        <v>7829</v>
      </c>
      <c r="G288" t="s">
        <v>9336</v>
      </c>
      <c r="H288" s="89" t="s">
        <v>6024</v>
      </c>
      <c r="I288" s="89" t="s">
        <v>6316</v>
      </c>
      <c r="J288" s="89" t="s">
        <v>7356</v>
      </c>
      <c r="K288" s="456" t="s">
        <v>6662</v>
      </c>
    </row>
    <row r="289" spans="1:11" s="12" customFormat="1" ht="29.4" thickBot="1" x14ac:dyDescent="0.35">
      <c r="A289" s="12" t="s">
        <v>4240</v>
      </c>
      <c r="B289" s="457" t="str">
        <f t="shared" si="8"/>
        <v>Description of how it applies these principles</v>
      </c>
      <c r="C289" s="12" t="s">
        <v>2918</v>
      </c>
      <c r="D289" s="478" t="s">
        <v>8300</v>
      </c>
      <c r="E289" s="478" t="s">
        <v>8760</v>
      </c>
      <c r="F289" s="472" t="s">
        <v>7830</v>
      </c>
      <c r="G289" s="12" t="s">
        <v>9337</v>
      </c>
      <c r="H289" s="424" t="s">
        <v>7005</v>
      </c>
      <c r="I289" s="424" t="s">
        <v>5956</v>
      </c>
      <c r="J289" s="424" t="s">
        <v>7357</v>
      </c>
      <c r="K289" s="476" t="s">
        <v>6663</v>
      </c>
    </row>
    <row r="290" spans="1:11" ht="28.8" x14ac:dyDescent="0.3">
      <c r="A290" t="s">
        <v>4241</v>
      </c>
      <c r="B290" s="423" t="str">
        <f t="shared" si="8"/>
        <v>B7 - Waste generated</v>
      </c>
      <c r="C290" t="s">
        <v>4019</v>
      </c>
      <c r="D290" s="470" t="s">
        <v>8301</v>
      </c>
      <c r="E290" s="470" t="s">
        <v>8761</v>
      </c>
      <c r="F290" s="471" t="s">
        <v>7831</v>
      </c>
      <c r="G290" t="s">
        <v>9338</v>
      </c>
      <c r="H290" s="89" t="s">
        <v>7006</v>
      </c>
      <c r="I290" s="89" t="s">
        <v>5957</v>
      </c>
      <c r="J290" s="89" t="s">
        <v>5874</v>
      </c>
      <c r="K290" s="456" t="s">
        <v>6664</v>
      </c>
    </row>
    <row r="291" spans="1:11" x14ac:dyDescent="0.3">
      <c r="A291" t="s">
        <v>4242</v>
      </c>
      <c r="B291" s="423" t="str">
        <f t="shared" si="8"/>
        <v>Type of waste</v>
      </c>
      <c r="C291" t="s">
        <v>2760</v>
      </c>
      <c r="D291" s="470" t="s">
        <v>8302</v>
      </c>
      <c r="E291" s="470" t="s">
        <v>8762</v>
      </c>
      <c r="F291" s="471" t="s">
        <v>7832</v>
      </c>
      <c r="G291" t="s">
        <v>9339</v>
      </c>
      <c r="H291" s="89" t="s">
        <v>6025</v>
      </c>
      <c r="I291" s="89" t="s">
        <v>6317</v>
      </c>
      <c r="J291" s="89" t="s">
        <v>7358</v>
      </c>
      <c r="K291" s="456" t="s">
        <v>6665</v>
      </c>
    </row>
    <row r="292" spans="1:11" x14ac:dyDescent="0.3">
      <c r="A292" t="s">
        <v>4243</v>
      </c>
      <c r="B292" s="423" t="str">
        <f t="shared" si="8"/>
        <v>Unit of measurement</v>
      </c>
      <c r="C292" t="s">
        <v>2756</v>
      </c>
      <c r="D292" s="470" t="s">
        <v>8303</v>
      </c>
      <c r="E292" s="470" t="s">
        <v>8763</v>
      </c>
      <c r="F292" s="471" t="s">
        <v>7833</v>
      </c>
      <c r="G292" t="s">
        <v>9340</v>
      </c>
      <c r="H292" s="89" t="s">
        <v>6026</v>
      </c>
      <c r="I292" s="89" t="s">
        <v>5958</v>
      </c>
      <c r="J292" s="89" t="s">
        <v>5875</v>
      </c>
      <c r="K292" s="456" t="s">
        <v>5779</v>
      </c>
    </row>
    <row r="293" spans="1:11" ht="28.8" x14ac:dyDescent="0.3">
      <c r="A293" t="s">
        <v>4244</v>
      </c>
      <c r="B293" s="423" t="str">
        <f t="shared" si="8"/>
        <v>Waste diverted to recycle or reuse</v>
      </c>
      <c r="C293" t="s">
        <v>3982</v>
      </c>
      <c r="D293" s="470" t="s">
        <v>8304</v>
      </c>
      <c r="E293" s="470" t="s">
        <v>8764</v>
      </c>
      <c r="F293" s="471" t="s">
        <v>7834</v>
      </c>
      <c r="G293" t="s">
        <v>9341</v>
      </c>
      <c r="H293" s="89" t="s">
        <v>6027</v>
      </c>
      <c r="I293" s="89" t="s">
        <v>5959</v>
      </c>
      <c r="J293" s="89" t="s">
        <v>6093</v>
      </c>
      <c r="K293" s="456" t="s">
        <v>5780</v>
      </c>
    </row>
    <row r="294" spans="1:11" x14ac:dyDescent="0.3">
      <c r="A294" t="s">
        <v>4245</v>
      </c>
      <c r="B294" s="423" t="str">
        <f t="shared" si="8"/>
        <v>Waste directed to disposal</v>
      </c>
      <c r="C294" t="s">
        <v>3071</v>
      </c>
      <c r="D294" s="470" t="s">
        <v>8305</v>
      </c>
      <c r="E294" s="470" t="s">
        <v>8765</v>
      </c>
      <c r="F294" s="471" t="s">
        <v>7835</v>
      </c>
      <c r="G294" t="s">
        <v>9342</v>
      </c>
      <c r="H294" s="89" t="s">
        <v>7007</v>
      </c>
      <c r="I294" s="89" t="s">
        <v>6318</v>
      </c>
      <c r="J294" s="89" t="s">
        <v>7359</v>
      </c>
      <c r="K294" s="456" t="s">
        <v>6666</v>
      </c>
    </row>
    <row r="295" spans="1:11" ht="28.8" x14ac:dyDescent="0.3">
      <c r="A295" t="s">
        <v>4246</v>
      </c>
      <c r="B295" s="423" t="str">
        <f t="shared" si="8"/>
        <v>Amount of waste recycled reused and directed to disposal</v>
      </c>
      <c r="C295" t="s">
        <v>4374</v>
      </c>
      <c r="D295" s="470" t="s">
        <v>8306</v>
      </c>
      <c r="E295" s="470" t="s">
        <v>8766</v>
      </c>
      <c r="F295" s="471" t="s">
        <v>7836</v>
      </c>
      <c r="G295" t="s">
        <v>9343</v>
      </c>
      <c r="H295" s="89" t="s">
        <v>7008</v>
      </c>
      <c r="I295" s="89" t="s">
        <v>6319</v>
      </c>
      <c r="J295" s="89" t="s">
        <v>7360</v>
      </c>
      <c r="K295" s="456" t="s">
        <v>6667</v>
      </c>
    </row>
    <row r="296" spans="1:11" x14ac:dyDescent="0.3">
      <c r="A296" t="s">
        <v>4247</v>
      </c>
      <c r="B296" s="423" t="str">
        <f t="shared" si="8"/>
        <v>Total Hazardous waste generated (mass)</v>
      </c>
      <c r="C296" t="s">
        <v>3608</v>
      </c>
      <c r="D296" s="470" t="s">
        <v>8307</v>
      </c>
      <c r="E296" s="470" t="s">
        <v>8767</v>
      </c>
      <c r="F296" s="471" t="s">
        <v>7837</v>
      </c>
      <c r="G296" t="s">
        <v>9344</v>
      </c>
      <c r="H296" s="89" t="s">
        <v>7009</v>
      </c>
      <c r="I296" s="89" t="s">
        <v>6320</v>
      </c>
      <c r="J296" s="89" t="s">
        <v>7361</v>
      </c>
      <c r="K296" s="456" t="s">
        <v>6668</v>
      </c>
    </row>
    <row r="297" spans="1:11" x14ac:dyDescent="0.3">
      <c r="A297" t="s">
        <v>4248</v>
      </c>
      <c r="B297" s="423" t="str">
        <f t="shared" si="8"/>
        <v>Total amount of waste generated</v>
      </c>
      <c r="C297" t="s">
        <v>3607</v>
      </c>
      <c r="D297" s="470" t="s">
        <v>8308</v>
      </c>
      <c r="E297" s="470" t="s">
        <v>8768</v>
      </c>
      <c r="F297" s="471" t="s">
        <v>7838</v>
      </c>
      <c r="G297" t="s">
        <v>9345</v>
      </c>
      <c r="H297" s="89" t="s">
        <v>6061</v>
      </c>
      <c r="I297" s="89" t="s">
        <v>6321</v>
      </c>
      <c r="J297" s="89" t="s">
        <v>5876</v>
      </c>
      <c r="K297" s="456" t="s">
        <v>5781</v>
      </c>
    </row>
    <row r="298" spans="1:11" ht="28.8" x14ac:dyDescent="0.3">
      <c r="A298" t="s">
        <v>4249</v>
      </c>
      <c r="B298" s="423" t="str">
        <f t="shared" si="8"/>
        <v>Total Non-Hazardous waste generated (mass)</v>
      </c>
      <c r="C298" t="s">
        <v>3609</v>
      </c>
      <c r="D298" s="470" t="s">
        <v>8309</v>
      </c>
      <c r="E298" s="470" t="s">
        <v>8769</v>
      </c>
      <c r="F298" s="471" t="s">
        <v>7839</v>
      </c>
      <c r="G298" t="s">
        <v>9346</v>
      </c>
      <c r="H298" s="89" t="s">
        <v>7010</v>
      </c>
      <c r="I298" s="89" t="s">
        <v>6322</v>
      </c>
      <c r="J298" s="89" t="s">
        <v>7362</v>
      </c>
      <c r="K298" s="456" t="s">
        <v>6669</v>
      </c>
    </row>
    <row r="299" spans="1:11" x14ac:dyDescent="0.3">
      <c r="A299" t="s">
        <v>4250</v>
      </c>
      <c r="B299" s="423" t="str">
        <f t="shared" si="8"/>
        <v>Total waste generated (mass)</v>
      </c>
      <c r="C299" t="s">
        <v>3610</v>
      </c>
      <c r="D299" s="470" t="s">
        <v>8310</v>
      </c>
      <c r="E299" s="470" t="s">
        <v>8770</v>
      </c>
      <c r="F299" s="471" t="s">
        <v>7840</v>
      </c>
      <c r="G299" t="s">
        <v>9347</v>
      </c>
      <c r="H299" s="89" t="s">
        <v>7011</v>
      </c>
      <c r="I299" s="89" t="s">
        <v>6323</v>
      </c>
      <c r="J299" s="89" t="s">
        <v>7363</v>
      </c>
      <c r="K299" s="456" t="s">
        <v>5782</v>
      </c>
    </row>
    <row r="300" spans="1:11" x14ac:dyDescent="0.3">
      <c r="A300" t="s">
        <v>4251</v>
      </c>
      <c r="B300" s="423" t="str">
        <f t="shared" si="8"/>
        <v>Total Hazardous waste generated (volume)</v>
      </c>
      <c r="C300" t="s">
        <v>3611</v>
      </c>
      <c r="D300" s="470" t="s">
        <v>8311</v>
      </c>
      <c r="E300" s="470" t="s">
        <v>8771</v>
      </c>
      <c r="F300" s="471" t="s">
        <v>7841</v>
      </c>
      <c r="G300" t="s">
        <v>9348</v>
      </c>
      <c r="H300" s="89" t="s">
        <v>7012</v>
      </c>
      <c r="I300" s="89" t="s">
        <v>6324</v>
      </c>
      <c r="J300" s="89" t="s">
        <v>7364</v>
      </c>
      <c r="K300" s="456" t="s">
        <v>6670</v>
      </c>
    </row>
    <row r="301" spans="1:11" x14ac:dyDescent="0.3">
      <c r="A301" t="s">
        <v>4252</v>
      </c>
      <c r="B301" s="423" t="str">
        <f t="shared" si="8"/>
        <v>cubic meters (m³)</v>
      </c>
      <c r="C301" t="s">
        <v>2762</v>
      </c>
      <c r="D301" s="470" t="s">
        <v>8312</v>
      </c>
      <c r="E301" s="470" t="s">
        <v>8772</v>
      </c>
      <c r="F301" s="471" t="s">
        <v>7842</v>
      </c>
      <c r="G301" t="s">
        <v>9349</v>
      </c>
      <c r="H301" s="89" t="s">
        <v>6028</v>
      </c>
      <c r="I301" s="89" t="s">
        <v>6325</v>
      </c>
      <c r="J301" s="89" t="s">
        <v>5783</v>
      </c>
      <c r="K301" s="456" t="s">
        <v>5783</v>
      </c>
    </row>
    <row r="302" spans="1:11" x14ac:dyDescent="0.3">
      <c r="A302" t="s">
        <v>4253</v>
      </c>
      <c r="B302" s="423" t="str">
        <f t="shared" si="8"/>
        <v>Total Non-Hazardous waste generated (volume)</v>
      </c>
      <c r="C302" t="s">
        <v>3612</v>
      </c>
      <c r="D302" s="470" t="s">
        <v>8313</v>
      </c>
      <c r="E302" s="470" t="s">
        <v>8773</v>
      </c>
      <c r="F302" s="471" t="s">
        <v>7843</v>
      </c>
      <c r="G302" t="s">
        <v>9350</v>
      </c>
      <c r="H302" s="89" t="s">
        <v>7013</v>
      </c>
      <c r="I302" s="89" t="s">
        <v>6326</v>
      </c>
      <c r="J302" s="89" t="s">
        <v>7365</v>
      </c>
      <c r="K302" s="456" t="s">
        <v>6671</v>
      </c>
    </row>
    <row r="303" spans="1:11" s="12" customFormat="1" ht="15" thickBot="1" x14ac:dyDescent="0.35">
      <c r="A303" s="12" t="s">
        <v>4254</v>
      </c>
      <c r="B303" s="457" t="str">
        <f t="shared" si="8"/>
        <v>Total waste generated (volume)</v>
      </c>
      <c r="C303" s="12" t="s">
        <v>3613</v>
      </c>
      <c r="D303" s="478" t="s">
        <v>8314</v>
      </c>
      <c r="E303" s="478" t="s">
        <v>8774</v>
      </c>
      <c r="F303" s="472" t="s">
        <v>7844</v>
      </c>
      <c r="G303" s="12" t="s">
        <v>9351</v>
      </c>
      <c r="H303" s="424" t="s">
        <v>6065</v>
      </c>
      <c r="I303" s="424" t="s">
        <v>6327</v>
      </c>
      <c r="J303" s="424" t="s">
        <v>7366</v>
      </c>
      <c r="K303" s="476" t="s">
        <v>6672</v>
      </c>
    </row>
    <row r="304" spans="1:11" ht="28.8" x14ac:dyDescent="0.3">
      <c r="A304" t="s">
        <v>4255</v>
      </c>
      <c r="B304" s="423" t="str">
        <f t="shared" si="8"/>
        <v>B7 – Annual mass-flow of relevant materials used</v>
      </c>
      <c r="C304" t="s">
        <v>4020</v>
      </c>
      <c r="D304" s="470" t="s">
        <v>8315</v>
      </c>
      <c r="E304" s="470" t="s">
        <v>8775</v>
      </c>
      <c r="F304" s="471" t="s">
        <v>7845</v>
      </c>
      <c r="G304" t="s">
        <v>9352</v>
      </c>
      <c r="H304" s="89" t="s">
        <v>7014</v>
      </c>
      <c r="I304" s="89" t="s">
        <v>6328</v>
      </c>
      <c r="J304" s="89" t="s">
        <v>7367</v>
      </c>
      <c r="K304" s="456" t="s">
        <v>6673</v>
      </c>
    </row>
    <row r="305" spans="1:11" ht="13.8" customHeight="1" x14ac:dyDescent="0.3">
      <c r="A305" t="s">
        <v>7169</v>
      </c>
      <c r="B305" s="423" t="str">
        <f t="shared" si="8"/>
        <v>Does the undertaking the undertaking operate in a sector using significant material flows (for example manufacturing construction packaging or others)?</v>
      </c>
      <c r="C305" t="s">
        <v>4375</v>
      </c>
      <c r="D305" s="470" t="s">
        <v>8316</v>
      </c>
      <c r="E305" s="470" t="s">
        <v>8776</v>
      </c>
      <c r="F305" s="471" t="s">
        <v>7846</v>
      </c>
      <c r="G305" t="s">
        <v>9353</v>
      </c>
      <c r="H305" s="89" t="s">
        <v>7015</v>
      </c>
      <c r="I305" s="89" t="s">
        <v>6329</v>
      </c>
      <c r="J305" s="89" t="s">
        <v>7368</v>
      </c>
      <c r="K305" s="456" t="s">
        <v>6674</v>
      </c>
    </row>
    <row r="306" spans="1:11" x14ac:dyDescent="0.3">
      <c r="A306" t="s">
        <v>4256</v>
      </c>
      <c r="B306" s="423" t="str">
        <f t="shared" si="8"/>
        <v>Name of the key material</v>
      </c>
      <c r="C306" t="s">
        <v>2759</v>
      </c>
      <c r="D306" s="470" t="s">
        <v>8317</v>
      </c>
      <c r="E306" s="470" t="s">
        <v>8777</v>
      </c>
      <c r="F306" s="471" t="s">
        <v>7847</v>
      </c>
      <c r="G306" t="s">
        <v>9354</v>
      </c>
      <c r="H306" s="89" t="s">
        <v>7016</v>
      </c>
      <c r="I306" s="89" t="s">
        <v>5960</v>
      </c>
      <c r="J306" s="89" t="s">
        <v>7369</v>
      </c>
      <c r="K306" s="456" t="s">
        <v>5784</v>
      </c>
    </row>
    <row r="307" spans="1:11" x14ac:dyDescent="0.3">
      <c r="A307" t="s">
        <v>4257</v>
      </c>
      <c r="B307" s="423" t="str">
        <f>INDEX(C307:K307,MATCH(template_selected_display_language,$C$3:$K$3,0))</f>
        <v>Mass / Volume</v>
      </c>
      <c r="C307" t="s">
        <v>9533</v>
      </c>
      <c r="D307" s="470" t="s">
        <v>8318</v>
      </c>
      <c r="E307" s="470" t="s">
        <v>9534</v>
      </c>
      <c r="F307" s="471" t="s">
        <v>7848</v>
      </c>
      <c r="G307" t="s">
        <v>9535</v>
      </c>
      <c r="H307" s="89" t="s">
        <v>7017</v>
      </c>
      <c r="I307" s="89" t="s">
        <v>9537</v>
      </c>
      <c r="J307" s="89" t="s">
        <v>9535</v>
      </c>
      <c r="K307" s="456" t="s">
        <v>9536</v>
      </c>
    </row>
    <row r="308" spans="1:11" ht="28.8" x14ac:dyDescent="0.3">
      <c r="A308" t="s">
        <v>4258</v>
      </c>
      <c r="B308" s="423" t="str">
        <f t="shared" si="8"/>
        <v>Total annual mass-flow of relevant materials used (mass in kg)</v>
      </c>
      <c r="C308" t="s">
        <v>2763</v>
      </c>
      <c r="D308" s="470" t="s">
        <v>8319</v>
      </c>
      <c r="E308" s="470" t="s">
        <v>8778</v>
      </c>
      <c r="F308" s="471" t="s">
        <v>7849</v>
      </c>
      <c r="G308" t="s">
        <v>9355</v>
      </c>
      <c r="H308" s="89" t="s">
        <v>7018</v>
      </c>
      <c r="I308" s="89" t="s">
        <v>6330</v>
      </c>
      <c r="J308" s="89" t="s">
        <v>7370</v>
      </c>
      <c r="K308" s="456" t="s">
        <v>6675</v>
      </c>
    </row>
    <row r="309" spans="1:11" x14ac:dyDescent="0.3">
      <c r="A309" t="s">
        <v>4259</v>
      </c>
      <c r="B309" s="423" t="str">
        <f t="shared" si="8"/>
        <v>kilograms (kg)</v>
      </c>
      <c r="C309" t="s">
        <v>2757</v>
      </c>
      <c r="D309" s="470" t="s">
        <v>8320</v>
      </c>
      <c r="E309" s="470" t="s">
        <v>8779</v>
      </c>
      <c r="F309" s="471" t="s">
        <v>7850</v>
      </c>
      <c r="G309" t="s">
        <v>9356</v>
      </c>
      <c r="H309" s="89" t="s">
        <v>6029</v>
      </c>
      <c r="I309" s="89" t="s">
        <v>5820</v>
      </c>
      <c r="J309" s="89" t="s">
        <v>5877</v>
      </c>
      <c r="K309" s="456" t="s">
        <v>5785</v>
      </c>
    </row>
    <row r="310" spans="1:11" s="12" customFormat="1" ht="29.4" thickBot="1" x14ac:dyDescent="0.35">
      <c r="A310" s="12" t="s">
        <v>4260</v>
      </c>
      <c r="B310" s="457" t="str">
        <f t="shared" si="8"/>
        <v>Total annual mass-flow of relevant materials used (volume in m³)</v>
      </c>
      <c r="C310" s="12" t="s">
        <v>3983</v>
      </c>
      <c r="D310" s="478" t="s">
        <v>8321</v>
      </c>
      <c r="E310" s="478" t="s">
        <v>8780</v>
      </c>
      <c r="F310" s="472" t="s">
        <v>7851</v>
      </c>
      <c r="G310" s="12" t="s">
        <v>9357</v>
      </c>
      <c r="H310" s="424" t="s">
        <v>7019</v>
      </c>
      <c r="I310" s="424" t="s">
        <v>6331</v>
      </c>
      <c r="J310" s="424" t="s">
        <v>7371</v>
      </c>
      <c r="K310" s="476" t="s">
        <v>6676</v>
      </c>
    </row>
    <row r="311" spans="1:11" x14ac:dyDescent="0.3">
      <c r="A311" t="s">
        <v>4261</v>
      </c>
      <c r="B311" s="423" t="str">
        <f t="shared" si="8"/>
        <v>C4 – Climate risks</v>
      </c>
      <c r="C311" t="s">
        <v>20</v>
      </c>
      <c r="D311" s="470" t="s">
        <v>8322</v>
      </c>
      <c r="E311" s="470" t="s">
        <v>8582</v>
      </c>
      <c r="F311" s="471" t="s">
        <v>7852</v>
      </c>
      <c r="G311" t="s">
        <v>9358</v>
      </c>
      <c r="H311" s="89" t="s">
        <v>7020</v>
      </c>
      <c r="I311" s="89" t="s">
        <v>6332</v>
      </c>
      <c r="J311" s="89" t="s">
        <v>7227</v>
      </c>
      <c r="K311" s="456" t="s">
        <v>5786</v>
      </c>
    </row>
    <row r="312" spans="1:11" ht="57.6" x14ac:dyDescent="0.3">
      <c r="A312" t="s">
        <v>4262</v>
      </c>
      <c r="B312" s="423" t="str">
        <f t="shared" si="8"/>
        <v>Has the undertaking identified climate-related hazards and climate-related transition events creating gross climate-related risks for the undertaking?</v>
      </c>
      <c r="C312" t="s">
        <v>4043</v>
      </c>
      <c r="D312" s="470" t="s">
        <v>8323</v>
      </c>
      <c r="E312" s="470" t="s">
        <v>8781</v>
      </c>
      <c r="F312" s="471" t="s">
        <v>7853</v>
      </c>
      <c r="G312" t="s">
        <v>9359</v>
      </c>
      <c r="H312" s="89" t="s">
        <v>7021</v>
      </c>
      <c r="I312" s="89" t="s">
        <v>6333</v>
      </c>
      <c r="J312" s="89" t="s">
        <v>7372</v>
      </c>
      <c r="K312" s="456" t="s">
        <v>6677</v>
      </c>
    </row>
    <row r="313" spans="1:11" ht="28.8" x14ac:dyDescent="0.3">
      <c r="A313" t="s">
        <v>4263</v>
      </c>
      <c r="B313" s="423" t="str">
        <f t="shared" si="8"/>
        <v>Description of climate-related hazards and climate-related transition events</v>
      </c>
      <c r="C313" t="s">
        <v>3550</v>
      </c>
      <c r="D313" s="470" t="s">
        <v>8324</v>
      </c>
      <c r="E313" s="470" t="s">
        <v>8782</v>
      </c>
      <c r="F313" s="471" t="s">
        <v>7854</v>
      </c>
      <c r="G313" t="s">
        <v>9360</v>
      </c>
      <c r="H313" s="89" t="s">
        <v>7022</v>
      </c>
      <c r="I313" s="89" t="s">
        <v>6334</v>
      </c>
      <c r="J313" s="89" t="s">
        <v>7373</v>
      </c>
      <c r="K313" s="456" t="s">
        <v>6678</v>
      </c>
    </row>
    <row r="314" spans="1:11" ht="57.6" x14ac:dyDescent="0.3">
      <c r="A314" t="s">
        <v>4264</v>
      </c>
      <c r="B314" s="423" t="str">
        <f t="shared" si="8"/>
        <v>Disclosure of how it has assessed the exposure and sensitivity of its assets activities and value chain to these hazards and transition events</v>
      </c>
      <c r="C314" t="s">
        <v>4044</v>
      </c>
      <c r="D314" s="470" t="s">
        <v>8325</v>
      </c>
      <c r="E314" s="470" t="s">
        <v>8783</v>
      </c>
      <c r="F314" s="471" t="s">
        <v>7855</v>
      </c>
      <c r="G314" t="s">
        <v>9361</v>
      </c>
      <c r="H314" s="89" t="s">
        <v>7023</v>
      </c>
      <c r="I314" s="89" t="s">
        <v>6335</v>
      </c>
      <c r="J314" s="89" t="s">
        <v>7374</v>
      </c>
      <c r="K314" s="456" t="s">
        <v>6679</v>
      </c>
    </row>
    <row r="315" spans="1:11" ht="28.8" x14ac:dyDescent="0.3">
      <c r="A315" t="s">
        <v>4265</v>
      </c>
      <c r="B315" s="423" t="str">
        <f t="shared" si="8"/>
        <v>Time horizons of any climate-related hazards and transition events identified</v>
      </c>
      <c r="C315" t="s">
        <v>21</v>
      </c>
      <c r="D315" s="470" t="s">
        <v>8326</v>
      </c>
      <c r="E315" s="470" t="s">
        <v>8784</v>
      </c>
      <c r="F315" s="471" t="s">
        <v>7856</v>
      </c>
      <c r="G315" t="s">
        <v>9362</v>
      </c>
      <c r="H315" s="89" t="s">
        <v>7024</v>
      </c>
      <c r="I315" s="89" t="s">
        <v>6336</v>
      </c>
      <c r="J315" s="89" t="s">
        <v>7375</v>
      </c>
      <c r="K315" s="456" t="s">
        <v>5787</v>
      </c>
    </row>
    <row r="316" spans="1:11" ht="43.2" x14ac:dyDescent="0.3">
      <c r="A316" t="s">
        <v>4266</v>
      </c>
      <c r="B316" s="423" t="str">
        <f t="shared" si="8"/>
        <v>Disclosure of whether it has undertaken climate change adaptation actions for any climate-related hazards and transition events</v>
      </c>
      <c r="C316" t="s">
        <v>3614</v>
      </c>
      <c r="D316" s="470" t="s">
        <v>8327</v>
      </c>
      <c r="E316" s="480" t="s">
        <v>8785</v>
      </c>
      <c r="F316" s="471" t="s">
        <v>7857</v>
      </c>
      <c r="G316" t="s">
        <v>9363</v>
      </c>
      <c r="H316" s="89" t="s">
        <v>7025</v>
      </c>
      <c r="I316" s="89" t="s">
        <v>6337</v>
      </c>
      <c r="J316" s="89" t="s">
        <v>7376</v>
      </c>
      <c r="K316" s="456" t="s">
        <v>6680</v>
      </c>
    </row>
    <row r="317" spans="1:11" ht="72" x14ac:dyDescent="0.3">
      <c r="A317" t="s">
        <v>4267</v>
      </c>
      <c r="B317" s="423" t="str">
        <f t="shared" si="8"/>
        <v>Potential adverse effects of climate risks that may affect its financial performance or business operations in the short- medium- or long-term indicating whether it assesses the risks to be high medium or low</v>
      </c>
      <c r="C317" t="s">
        <v>4045</v>
      </c>
      <c r="D317" s="470" t="s">
        <v>8328</v>
      </c>
      <c r="E317" s="470" t="s">
        <v>8786</v>
      </c>
      <c r="F317" s="471" t="s">
        <v>7858</v>
      </c>
      <c r="G317" t="s">
        <v>9364</v>
      </c>
      <c r="H317" s="89" t="s">
        <v>7026</v>
      </c>
      <c r="I317" s="89" t="s">
        <v>6338</v>
      </c>
      <c r="J317" s="89" t="s">
        <v>7377</v>
      </c>
      <c r="K317" s="456" t="s">
        <v>6681</v>
      </c>
    </row>
    <row r="318" spans="1:11" s="12" customFormat="1" ht="29.4" thickBot="1" x14ac:dyDescent="0.35">
      <c r="A318" s="12" t="s">
        <v>4268</v>
      </c>
      <c r="B318" s="457" t="str">
        <f t="shared" si="8"/>
        <v>Disclosure of any other environmental and or entity specific environmental disclosures</v>
      </c>
      <c r="C318" s="12" t="s">
        <v>3997</v>
      </c>
      <c r="D318" s="478" t="s">
        <v>8329</v>
      </c>
      <c r="E318" s="478" t="s">
        <v>8589</v>
      </c>
      <c r="F318" s="472" t="s">
        <v>7859</v>
      </c>
      <c r="G318" s="12" t="s">
        <v>9365</v>
      </c>
      <c r="H318" s="424" t="s">
        <v>7027</v>
      </c>
      <c r="I318" s="424" t="s">
        <v>6339</v>
      </c>
      <c r="J318" s="424" t="s">
        <v>7378</v>
      </c>
      <c r="K318" s="476" t="s">
        <v>6502</v>
      </c>
    </row>
    <row r="319" spans="1:11" ht="43.2" x14ac:dyDescent="0.3">
      <c r="A319" t="s">
        <v>4269</v>
      </c>
      <c r="B319" s="423" t="str">
        <f t="shared" si="8"/>
        <v>Employee counting methodology for the disclosures below (Headcount or Full time Equivalent linked from B1</v>
      </c>
      <c r="C319" t="s">
        <v>4046</v>
      </c>
      <c r="D319" s="470" t="s">
        <v>8330</v>
      </c>
      <c r="E319" s="470" t="s">
        <v>8787</v>
      </c>
      <c r="F319" s="471" t="s">
        <v>7860</v>
      </c>
      <c r="G319" t="s">
        <v>9366</v>
      </c>
      <c r="H319" s="89" t="s">
        <v>7028</v>
      </c>
      <c r="I319" s="89" t="s">
        <v>6340</v>
      </c>
      <c r="J319" s="89" t="s">
        <v>7379</v>
      </c>
      <c r="K319" s="456" t="s">
        <v>6682</v>
      </c>
    </row>
    <row r="320" spans="1:11" s="12" customFormat="1" ht="58.2" thickBot="1" x14ac:dyDescent="0.35">
      <c r="A320" s="12" t="s">
        <v>4270</v>
      </c>
      <c r="B320" s="457" t="str">
        <f t="shared" si="8"/>
        <v>Employee counting methodology for the disclosures below (At the end of the reporting period or as an average across the reporting period linked from B1)</v>
      </c>
      <c r="C320" s="12" t="s">
        <v>4060</v>
      </c>
      <c r="D320" s="478" t="s">
        <v>8331</v>
      </c>
      <c r="E320" s="478" t="s">
        <v>8788</v>
      </c>
      <c r="F320" s="472" t="s">
        <v>7861</v>
      </c>
      <c r="G320" s="12" t="s">
        <v>9367</v>
      </c>
      <c r="H320" s="424" t="s">
        <v>7029</v>
      </c>
      <c r="I320" s="424" t="s">
        <v>6341</v>
      </c>
      <c r="J320" s="424" t="s">
        <v>7380</v>
      </c>
      <c r="K320" s="476" t="s">
        <v>6683</v>
      </c>
    </row>
    <row r="321" spans="1:11" ht="28.8" x14ac:dyDescent="0.3">
      <c r="A321" t="s">
        <v>4271</v>
      </c>
      <c r="B321" s="423" t="str">
        <f t="shared" si="8"/>
        <v>B8 – Workforce – General characteristics - Type of contract</v>
      </c>
      <c r="C321" t="s">
        <v>4021</v>
      </c>
      <c r="D321" s="470" t="s">
        <v>8332</v>
      </c>
      <c r="E321" s="470" t="s">
        <v>8789</v>
      </c>
      <c r="F321" s="471" t="s">
        <v>7862</v>
      </c>
      <c r="G321" t="s">
        <v>9368</v>
      </c>
      <c r="H321" s="89" t="s">
        <v>7030</v>
      </c>
      <c r="I321" s="89" t="s">
        <v>6342</v>
      </c>
      <c r="J321" s="89" t="s">
        <v>7381</v>
      </c>
      <c r="K321" s="456" t="s">
        <v>6507</v>
      </c>
    </row>
    <row r="322" spans="1:11" x14ac:dyDescent="0.3">
      <c r="A322" t="s">
        <v>4272</v>
      </c>
      <c r="B322" s="423" t="str">
        <f t="shared" si="8"/>
        <v>Type of contract</v>
      </c>
      <c r="C322" t="s">
        <v>22</v>
      </c>
      <c r="D322" s="470" t="s">
        <v>8333</v>
      </c>
      <c r="E322" s="470" t="s">
        <v>8571</v>
      </c>
      <c r="F322" s="471" t="s">
        <v>7863</v>
      </c>
      <c r="G322" t="s">
        <v>9139</v>
      </c>
      <c r="H322" s="89" t="s">
        <v>6855</v>
      </c>
      <c r="I322" s="89" t="s">
        <v>5916</v>
      </c>
      <c r="J322" s="89" t="s">
        <v>5718</v>
      </c>
      <c r="K322" s="456" t="s">
        <v>5718</v>
      </c>
    </row>
    <row r="323" spans="1:11" x14ac:dyDescent="0.3">
      <c r="A323" t="s">
        <v>4273</v>
      </c>
      <c r="B323" s="423" t="str">
        <f t="shared" si="8"/>
        <v>Permanent contract</v>
      </c>
      <c r="C323" t="s">
        <v>24</v>
      </c>
      <c r="D323" s="470" t="s">
        <v>8334</v>
      </c>
      <c r="E323" s="470" t="s">
        <v>8790</v>
      </c>
      <c r="F323" s="471" t="s">
        <v>7864</v>
      </c>
      <c r="G323" t="s">
        <v>9369</v>
      </c>
      <c r="H323" s="89" t="s">
        <v>6030</v>
      </c>
      <c r="I323" s="89" t="s">
        <v>5961</v>
      </c>
      <c r="J323" s="89" t="s">
        <v>7382</v>
      </c>
      <c r="K323" s="456" t="s">
        <v>5788</v>
      </c>
    </row>
    <row r="324" spans="1:11" x14ac:dyDescent="0.3">
      <c r="A324" t="s">
        <v>4274</v>
      </c>
      <c r="B324" s="423" t="str">
        <f t="shared" ref="B324:B387" si="9">INDEX(C324:K324,MATCH(template_selected_display_language,$C$3:$K$3,0))</f>
        <v>Temporary contract</v>
      </c>
      <c r="C324" t="s">
        <v>23</v>
      </c>
      <c r="D324" s="470" t="s">
        <v>8335</v>
      </c>
      <c r="E324" s="470" t="s">
        <v>8791</v>
      </c>
      <c r="F324" s="471" t="s">
        <v>7865</v>
      </c>
      <c r="G324" t="s">
        <v>9370</v>
      </c>
      <c r="H324" s="89" t="s">
        <v>7031</v>
      </c>
      <c r="I324" s="89" t="s">
        <v>6076</v>
      </c>
      <c r="J324" s="89" t="s">
        <v>7383</v>
      </c>
      <c r="K324" s="456" t="s">
        <v>5789</v>
      </c>
    </row>
    <row r="325" spans="1:11" s="12" customFormat="1" ht="15" thickBot="1" x14ac:dyDescent="0.35">
      <c r="A325" s="12" t="s">
        <v>4275</v>
      </c>
      <c r="B325" s="457" t="str">
        <f t="shared" si="9"/>
        <v>Total employees (linked to B1)</v>
      </c>
      <c r="C325" s="12" t="s">
        <v>4499</v>
      </c>
      <c r="D325" s="478" t="s">
        <v>8336</v>
      </c>
      <c r="E325" s="478" t="s">
        <v>8792</v>
      </c>
      <c r="F325" s="472" t="s">
        <v>7866</v>
      </c>
      <c r="G325" s="12" t="s">
        <v>9371</v>
      </c>
      <c r="H325" s="424" t="s">
        <v>7032</v>
      </c>
      <c r="I325" s="424" t="s">
        <v>6343</v>
      </c>
      <c r="J325" s="424" t="s">
        <v>7384</v>
      </c>
      <c r="K325" s="476" t="s">
        <v>6684</v>
      </c>
    </row>
    <row r="326" spans="1:11" x14ac:dyDescent="0.3">
      <c r="A326" t="s">
        <v>4276</v>
      </c>
      <c r="B326" s="423" t="str">
        <f t="shared" si="9"/>
        <v>B8 – Workforce – General characteristics - Gender</v>
      </c>
      <c r="C326" t="s">
        <v>4022</v>
      </c>
      <c r="D326" s="470" t="s">
        <v>8337</v>
      </c>
      <c r="E326" s="470" t="s">
        <v>8793</v>
      </c>
      <c r="F326" s="471" t="s">
        <v>7867</v>
      </c>
      <c r="G326" t="s">
        <v>9372</v>
      </c>
      <c r="H326" s="89" t="s">
        <v>7033</v>
      </c>
      <c r="I326" s="89" t="s">
        <v>6344</v>
      </c>
      <c r="J326" s="89" t="s">
        <v>7385</v>
      </c>
      <c r="K326" s="456" t="s">
        <v>6685</v>
      </c>
    </row>
    <row r="327" spans="1:11" x14ac:dyDescent="0.3">
      <c r="A327" t="s">
        <v>4277</v>
      </c>
      <c r="B327" s="423" t="str">
        <f t="shared" si="9"/>
        <v>Gender</v>
      </c>
      <c r="C327" t="s">
        <v>25</v>
      </c>
      <c r="D327" s="470" t="s">
        <v>8101</v>
      </c>
      <c r="E327" s="470" t="s">
        <v>8572</v>
      </c>
      <c r="F327" s="471" t="s">
        <v>7631</v>
      </c>
      <c r="G327" t="s">
        <v>9140</v>
      </c>
      <c r="H327" s="89" t="s">
        <v>5997</v>
      </c>
      <c r="I327" s="89" t="s">
        <v>5917</v>
      </c>
      <c r="J327" s="89" t="s">
        <v>5719</v>
      </c>
      <c r="K327" s="456" t="s">
        <v>5719</v>
      </c>
    </row>
    <row r="328" spans="1:11" x14ac:dyDescent="0.3">
      <c r="A328" t="s">
        <v>4278</v>
      </c>
      <c r="B328" s="423" t="str">
        <f t="shared" si="9"/>
        <v>Male</v>
      </c>
      <c r="C328" t="s">
        <v>26</v>
      </c>
      <c r="D328" s="470" t="s">
        <v>8338</v>
      </c>
      <c r="E328" s="470" t="s">
        <v>8794</v>
      </c>
      <c r="F328" s="471" t="s">
        <v>7868</v>
      </c>
      <c r="G328" t="s">
        <v>9373</v>
      </c>
      <c r="H328" s="89" t="s">
        <v>7034</v>
      </c>
      <c r="I328" s="89" t="s">
        <v>5962</v>
      </c>
      <c r="J328" s="89" t="s">
        <v>5790</v>
      </c>
      <c r="K328" s="456" t="s">
        <v>5790</v>
      </c>
    </row>
    <row r="329" spans="1:11" x14ac:dyDescent="0.3">
      <c r="A329" t="s">
        <v>4279</v>
      </c>
      <c r="B329" s="423" t="str">
        <f t="shared" si="9"/>
        <v>Female</v>
      </c>
      <c r="C329" t="s">
        <v>27</v>
      </c>
      <c r="D329" s="470" t="s">
        <v>8339</v>
      </c>
      <c r="E329" s="470" t="s">
        <v>8795</v>
      </c>
      <c r="F329" s="471" t="s">
        <v>7869</v>
      </c>
      <c r="G329" t="s">
        <v>9374</v>
      </c>
      <c r="H329" s="89" t="s">
        <v>7035</v>
      </c>
      <c r="I329" s="89" t="s">
        <v>5963</v>
      </c>
      <c r="J329" s="89" t="s">
        <v>7386</v>
      </c>
      <c r="K329" s="456" t="s">
        <v>6686</v>
      </c>
    </row>
    <row r="330" spans="1:11" x14ac:dyDescent="0.3">
      <c r="A330" t="s">
        <v>4280</v>
      </c>
      <c r="B330" s="423" t="str">
        <f t="shared" si="9"/>
        <v>Other</v>
      </c>
      <c r="C330" t="s">
        <v>28</v>
      </c>
      <c r="D330" s="470" t="s">
        <v>8340</v>
      </c>
      <c r="E330" s="470" t="s">
        <v>8796</v>
      </c>
      <c r="F330" s="471" t="s">
        <v>7870</v>
      </c>
      <c r="G330" t="s">
        <v>9375</v>
      </c>
      <c r="H330" s="89" t="s">
        <v>7036</v>
      </c>
      <c r="I330" s="89" t="s">
        <v>6345</v>
      </c>
      <c r="J330" s="89" t="s">
        <v>5878</v>
      </c>
      <c r="K330" s="456" t="s">
        <v>5791</v>
      </c>
    </row>
    <row r="331" spans="1:11" s="12" customFormat="1" ht="15" thickBot="1" x14ac:dyDescent="0.35">
      <c r="A331" s="12" t="s">
        <v>4281</v>
      </c>
      <c r="B331" s="457" t="str">
        <f t="shared" si="9"/>
        <v>Not reported</v>
      </c>
      <c r="C331" s="12" t="s">
        <v>29</v>
      </c>
      <c r="D331" s="478" t="s">
        <v>8341</v>
      </c>
      <c r="E331" s="478" t="s">
        <v>8797</v>
      </c>
      <c r="F331" s="472" t="s">
        <v>7871</v>
      </c>
      <c r="G331" s="12" t="s">
        <v>9376</v>
      </c>
      <c r="H331" s="424" t="s">
        <v>7037</v>
      </c>
      <c r="I331" s="424" t="s">
        <v>5964</v>
      </c>
      <c r="J331" s="424" t="s">
        <v>7387</v>
      </c>
      <c r="K331" s="476" t="s">
        <v>6492</v>
      </c>
    </row>
    <row r="332" spans="1:11" ht="28.8" x14ac:dyDescent="0.3">
      <c r="A332" t="s">
        <v>4282</v>
      </c>
      <c r="B332" s="423" t="str">
        <f t="shared" si="9"/>
        <v>B8 – Workforce – General characteristics - Country of employment</v>
      </c>
      <c r="C332" t="s">
        <v>4023</v>
      </c>
      <c r="D332" s="470" t="s">
        <v>8342</v>
      </c>
      <c r="E332" s="470" t="s">
        <v>8798</v>
      </c>
      <c r="F332" s="471" t="s">
        <v>7872</v>
      </c>
      <c r="G332" t="s">
        <v>9377</v>
      </c>
      <c r="H332" s="89" t="s">
        <v>7038</v>
      </c>
      <c r="I332" s="89" t="s">
        <v>6346</v>
      </c>
      <c r="J332" s="89" t="s">
        <v>7388</v>
      </c>
      <c r="K332" s="456" t="s">
        <v>6687</v>
      </c>
    </row>
    <row r="333" spans="1:11" ht="43.2" x14ac:dyDescent="0.3">
      <c r="A333" t="s">
        <v>4283</v>
      </c>
      <c r="B333" s="423" t="str">
        <f t="shared" si="9"/>
        <v>Country of employment contract</v>
      </c>
      <c r="C333" t="s">
        <v>30</v>
      </c>
      <c r="D333" s="470" t="s">
        <v>8343</v>
      </c>
      <c r="E333" s="470" t="s">
        <v>8573</v>
      </c>
      <c r="F333" s="471" t="s">
        <v>7632</v>
      </c>
      <c r="G333" t="s">
        <v>9141</v>
      </c>
      <c r="H333" s="89" t="s">
        <v>7039</v>
      </c>
      <c r="I333" s="89" t="s">
        <v>6347</v>
      </c>
      <c r="J333" s="89" t="s">
        <v>5879</v>
      </c>
      <c r="K333" s="456" t="s">
        <v>6688</v>
      </c>
    </row>
    <row r="334" spans="1:11" s="12" customFormat="1" ht="29.4" thickBot="1" x14ac:dyDescent="0.35">
      <c r="A334" s="12" t="s">
        <v>5683</v>
      </c>
      <c r="B334" s="457" t="str">
        <f t="shared" si="9"/>
        <v>Does the undertaking operate in more than one country?</v>
      </c>
      <c r="C334" s="12" t="s">
        <v>5682</v>
      </c>
      <c r="D334" s="478" t="s">
        <v>8344</v>
      </c>
      <c r="E334" s="478" t="s">
        <v>8799</v>
      </c>
      <c r="F334" s="472" t="s">
        <v>7873</v>
      </c>
      <c r="G334" s="12" t="s">
        <v>9378</v>
      </c>
      <c r="H334" s="424" t="s">
        <v>6031</v>
      </c>
      <c r="I334" s="424" t="s">
        <v>6348</v>
      </c>
      <c r="J334" s="424" t="s">
        <v>5880</v>
      </c>
      <c r="K334" s="476" t="s">
        <v>5792</v>
      </c>
    </row>
    <row r="335" spans="1:11" ht="28.8" x14ac:dyDescent="0.3">
      <c r="A335" t="s">
        <v>4284</v>
      </c>
      <c r="B335" s="423" t="str">
        <f t="shared" si="9"/>
        <v>B8 – Workforce – General characteristics - Turnover rate</v>
      </c>
      <c r="C335" t="s">
        <v>4024</v>
      </c>
      <c r="D335" s="470" t="s">
        <v>8345</v>
      </c>
      <c r="E335" s="470" t="s">
        <v>8800</v>
      </c>
      <c r="F335" s="471" t="s">
        <v>7874</v>
      </c>
      <c r="G335" t="s">
        <v>9379</v>
      </c>
      <c r="H335" s="89" t="s">
        <v>7040</v>
      </c>
      <c r="I335" s="89" t="s">
        <v>6349</v>
      </c>
      <c r="J335" s="89" t="s">
        <v>7389</v>
      </c>
      <c r="K335" s="456" t="s">
        <v>6689</v>
      </c>
    </row>
    <row r="336" spans="1:11" ht="28.8" x14ac:dyDescent="0.3">
      <c r="A336" t="s">
        <v>4285</v>
      </c>
      <c r="B336" s="423" t="str">
        <f t="shared" si="9"/>
        <v>Number of employees who left during the reporting period</v>
      </c>
      <c r="C336" t="s">
        <v>3103</v>
      </c>
      <c r="D336" s="470" t="s">
        <v>8346</v>
      </c>
      <c r="E336" s="470" t="s">
        <v>8801</v>
      </c>
      <c r="F336" s="471" t="s">
        <v>7875</v>
      </c>
      <c r="G336" t="s">
        <v>9380</v>
      </c>
      <c r="H336" s="89" t="s">
        <v>7041</v>
      </c>
      <c r="I336" s="89" t="s">
        <v>6350</v>
      </c>
      <c r="J336" s="89" t="s">
        <v>7390</v>
      </c>
      <c r="K336" s="456" t="s">
        <v>6690</v>
      </c>
    </row>
    <row r="337" spans="1:11" x14ac:dyDescent="0.3">
      <c r="A337" t="s">
        <v>4286</v>
      </c>
      <c r="B337" s="423" t="str">
        <f t="shared" si="9"/>
        <v>Number of employees at the beginning of the reporting period</v>
      </c>
      <c r="C337" t="s">
        <v>3104</v>
      </c>
      <c r="D337" s="470" t="s">
        <v>8347</v>
      </c>
      <c r="E337" s="470" t="s">
        <v>8802</v>
      </c>
      <c r="F337" s="471" t="s">
        <v>7876</v>
      </c>
      <c r="G337" t="s">
        <v>9381</v>
      </c>
      <c r="H337" s="89" t="s">
        <v>6032</v>
      </c>
      <c r="I337" s="89" t="s">
        <v>6351</v>
      </c>
      <c r="J337" s="89" t="s">
        <v>7391</v>
      </c>
      <c r="K337" s="456" t="s">
        <v>6691</v>
      </c>
    </row>
    <row r="338" spans="1:11" x14ac:dyDescent="0.3">
      <c r="A338" t="s">
        <v>4287</v>
      </c>
      <c r="B338" s="423" t="str">
        <f t="shared" si="9"/>
        <v>Number of employees at the end of the reporting period</v>
      </c>
      <c r="C338" t="s">
        <v>3105</v>
      </c>
      <c r="D338" s="470" t="s">
        <v>8348</v>
      </c>
      <c r="E338" s="470" t="s">
        <v>8803</v>
      </c>
      <c r="F338" s="471" t="s">
        <v>7877</v>
      </c>
      <c r="G338" t="s">
        <v>9382</v>
      </c>
      <c r="H338" s="89" t="s">
        <v>6033</v>
      </c>
      <c r="I338" s="89" t="s">
        <v>6352</v>
      </c>
      <c r="J338" s="89" t="s">
        <v>7392</v>
      </c>
      <c r="K338" s="456" t="s">
        <v>6692</v>
      </c>
    </row>
    <row r="339" spans="1:11" s="12" customFormat="1" ht="43.8" thickBot="1" x14ac:dyDescent="0.35">
      <c r="A339" s="12" t="s">
        <v>4288</v>
      </c>
      <c r="B339" s="457" t="str">
        <f t="shared" si="9"/>
        <v>Employee turnover rate [%]  in the reporting period</v>
      </c>
      <c r="C339" s="12" t="s">
        <v>3549</v>
      </c>
      <c r="D339" s="478" t="s">
        <v>8349</v>
      </c>
      <c r="E339" s="478" t="s">
        <v>8804</v>
      </c>
      <c r="F339" s="472" t="s">
        <v>7878</v>
      </c>
      <c r="G339" s="12" t="s">
        <v>9383</v>
      </c>
      <c r="H339" s="424" t="s">
        <v>6034</v>
      </c>
      <c r="I339" s="424" t="s">
        <v>6353</v>
      </c>
      <c r="J339" s="424" t="s">
        <v>7393</v>
      </c>
      <c r="K339" s="476" t="s">
        <v>6693</v>
      </c>
    </row>
    <row r="340" spans="1:11" ht="43.2" x14ac:dyDescent="0.3">
      <c r="A340" t="s">
        <v>4289</v>
      </c>
      <c r="B340" s="423" t="str">
        <f t="shared" si="9"/>
        <v>B9 – Workforce – Health and safety</v>
      </c>
      <c r="C340" t="s">
        <v>31</v>
      </c>
      <c r="D340" s="470" t="s">
        <v>8350</v>
      </c>
      <c r="E340" s="470" t="s">
        <v>8575</v>
      </c>
      <c r="F340" s="471" t="s">
        <v>7879</v>
      </c>
      <c r="G340" t="s">
        <v>9384</v>
      </c>
      <c r="H340" s="89" t="s">
        <v>7042</v>
      </c>
      <c r="I340" s="89" t="s">
        <v>6354</v>
      </c>
      <c r="J340" s="89" t="s">
        <v>7221</v>
      </c>
      <c r="K340" s="456" t="s">
        <v>6694</v>
      </c>
    </row>
    <row r="341" spans="1:11" ht="28.8" x14ac:dyDescent="0.3">
      <c r="A341" t="s">
        <v>4290</v>
      </c>
      <c r="B341" s="423" t="str">
        <f t="shared" si="9"/>
        <v>Number of recordable work-related accidents in the reporting period</v>
      </c>
      <c r="C341" t="s">
        <v>3106</v>
      </c>
      <c r="D341" s="470" t="s">
        <v>8351</v>
      </c>
      <c r="E341" s="470" t="s">
        <v>8805</v>
      </c>
      <c r="F341" s="471" t="s">
        <v>7880</v>
      </c>
      <c r="G341" t="s">
        <v>9385</v>
      </c>
      <c r="H341" s="89" t="s">
        <v>7043</v>
      </c>
      <c r="I341" s="89" t="s">
        <v>6355</v>
      </c>
      <c r="J341" s="89" t="s">
        <v>7394</v>
      </c>
      <c r="K341" s="456" t="s">
        <v>6508</v>
      </c>
    </row>
    <row r="342" spans="1:11" ht="28.8" x14ac:dyDescent="0.3">
      <c r="A342" t="s">
        <v>4291</v>
      </c>
      <c r="B342" s="423" t="str">
        <f t="shared" si="9"/>
        <v>Number of hours worked by  one full-time employee in the reporting period</v>
      </c>
      <c r="C342" t="s">
        <v>3107</v>
      </c>
      <c r="D342" s="470" t="s">
        <v>8352</v>
      </c>
      <c r="E342" s="470" t="s">
        <v>8806</v>
      </c>
      <c r="F342" s="471" t="s">
        <v>7881</v>
      </c>
      <c r="G342" t="s">
        <v>9386</v>
      </c>
      <c r="H342" s="89" t="s">
        <v>7044</v>
      </c>
      <c r="I342" s="89" t="s">
        <v>6356</v>
      </c>
      <c r="J342" s="89" t="s">
        <v>7395</v>
      </c>
      <c r="K342" s="456" t="s">
        <v>6695</v>
      </c>
    </row>
    <row r="343" spans="1:11" ht="28.8" x14ac:dyDescent="0.3">
      <c r="A343" t="s">
        <v>4292</v>
      </c>
      <c r="B343" s="423" t="str">
        <f t="shared" si="9"/>
        <v>Total number of hours worked in a year by all employees in the reporting period</v>
      </c>
      <c r="C343" t="s">
        <v>3108</v>
      </c>
      <c r="D343" s="470" t="s">
        <v>8353</v>
      </c>
      <c r="E343" s="470" t="s">
        <v>8807</v>
      </c>
      <c r="F343" s="471" t="s">
        <v>7882</v>
      </c>
      <c r="G343" t="s">
        <v>9387</v>
      </c>
      <c r="H343" s="89" t="s">
        <v>7045</v>
      </c>
      <c r="I343" s="89" t="s">
        <v>6357</v>
      </c>
      <c r="J343" s="89" t="s">
        <v>7396</v>
      </c>
      <c r="K343" s="456" t="s">
        <v>6696</v>
      </c>
    </row>
    <row r="344" spans="1:11" ht="28.8" x14ac:dyDescent="0.3">
      <c r="A344" t="s">
        <v>4293</v>
      </c>
      <c r="B344" s="423" t="str">
        <f t="shared" si="9"/>
        <v>Rate of recordable work-related accidents in the reporting period</v>
      </c>
      <c r="C344" t="s">
        <v>3984</v>
      </c>
      <c r="D344" s="470" t="s">
        <v>8354</v>
      </c>
      <c r="E344" s="470" t="s">
        <v>8808</v>
      </c>
      <c r="F344" s="471" t="s">
        <v>7883</v>
      </c>
      <c r="G344" t="s">
        <v>9388</v>
      </c>
      <c r="H344" s="89" t="s">
        <v>7046</v>
      </c>
      <c r="I344" s="89" t="s">
        <v>6358</v>
      </c>
      <c r="J344" s="89" t="s">
        <v>7397</v>
      </c>
      <c r="K344" s="456" t="s">
        <v>6697</v>
      </c>
    </row>
    <row r="345" spans="1:11" s="12" customFormat="1" ht="29.4" thickBot="1" x14ac:dyDescent="0.35">
      <c r="A345" s="12" t="s">
        <v>4294</v>
      </c>
      <c r="B345" s="457" t="str">
        <f t="shared" si="9"/>
        <v>Number of fatalities as a result of work-related injuries and work-related ill health</v>
      </c>
      <c r="C345" s="12" t="s">
        <v>32</v>
      </c>
      <c r="D345" s="478" t="s">
        <v>8355</v>
      </c>
      <c r="E345" s="478" t="s">
        <v>8809</v>
      </c>
      <c r="F345" s="472" t="s">
        <v>7884</v>
      </c>
      <c r="G345" s="12" t="s">
        <v>9389</v>
      </c>
      <c r="H345" s="424" t="s">
        <v>6035</v>
      </c>
      <c r="I345" s="424" t="s">
        <v>6359</v>
      </c>
      <c r="J345" s="424" t="s">
        <v>7398</v>
      </c>
      <c r="K345" s="476" t="s">
        <v>6698</v>
      </c>
    </row>
    <row r="346" spans="1:11" ht="57.6" x14ac:dyDescent="0.3">
      <c r="A346" t="s">
        <v>4295</v>
      </c>
      <c r="B346" s="423" t="str">
        <f t="shared" si="9"/>
        <v>B10 – Workforce – Remuneration collective bargaining and training</v>
      </c>
      <c r="C346" t="s">
        <v>4047</v>
      </c>
      <c r="D346" s="470" t="s">
        <v>8356</v>
      </c>
      <c r="E346" s="470" t="s">
        <v>8810</v>
      </c>
      <c r="F346" s="471" t="s">
        <v>7885</v>
      </c>
      <c r="G346" t="s">
        <v>9390</v>
      </c>
      <c r="H346" s="89" t="s">
        <v>7047</v>
      </c>
      <c r="I346" s="89" t="s">
        <v>6178</v>
      </c>
      <c r="J346" s="89" t="s">
        <v>5881</v>
      </c>
      <c r="K346" s="456" t="s">
        <v>6699</v>
      </c>
    </row>
    <row r="347" spans="1:11" ht="57.6" x14ac:dyDescent="0.3">
      <c r="A347" t="s">
        <v>4296</v>
      </c>
      <c r="B347" s="423" t="str">
        <f t="shared" si="9"/>
        <v>Employees receive pay that is equal or above applicable minimum wage determined directly by the national minimum wage law or through a collective bargaining agreement</v>
      </c>
      <c r="C347" t="s">
        <v>3053</v>
      </c>
      <c r="D347" s="470" t="s">
        <v>8357</v>
      </c>
      <c r="E347" s="470" t="s">
        <v>8811</v>
      </c>
      <c r="F347" s="471" t="s">
        <v>7886</v>
      </c>
      <c r="G347" t="s">
        <v>9391</v>
      </c>
      <c r="H347" s="89" t="s">
        <v>7048</v>
      </c>
      <c r="I347" s="89" t="s">
        <v>6360</v>
      </c>
      <c r="J347" s="89" t="s">
        <v>7399</v>
      </c>
      <c r="K347" s="456" t="s">
        <v>6700</v>
      </c>
    </row>
    <row r="348" spans="1:11" ht="28.8" x14ac:dyDescent="0.3">
      <c r="A348" t="s">
        <v>4297</v>
      </c>
      <c r="B348" s="423" t="str">
        <f t="shared" si="9"/>
        <v>Average gross hourly pay level of male employees</v>
      </c>
      <c r="C348" t="s">
        <v>3999</v>
      </c>
      <c r="D348" s="470" t="s">
        <v>8358</v>
      </c>
      <c r="E348" s="470" t="s">
        <v>8812</v>
      </c>
      <c r="F348" s="471" t="s">
        <v>7887</v>
      </c>
      <c r="G348" t="s">
        <v>9392</v>
      </c>
      <c r="H348" s="89" t="s">
        <v>7049</v>
      </c>
      <c r="I348" s="89" t="s">
        <v>6077</v>
      </c>
      <c r="J348" s="89" t="s">
        <v>7400</v>
      </c>
      <c r="K348" s="456" t="s">
        <v>6701</v>
      </c>
    </row>
    <row r="349" spans="1:11" ht="28.8" x14ac:dyDescent="0.3">
      <c r="A349" t="s">
        <v>4298</v>
      </c>
      <c r="B349" s="423" t="str">
        <f t="shared" si="9"/>
        <v>Average gross hourly pay level of female employees</v>
      </c>
      <c r="C349" t="s">
        <v>4000</v>
      </c>
      <c r="D349" s="470" t="s">
        <v>8359</v>
      </c>
      <c r="E349" s="470" t="s">
        <v>8813</v>
      </c>
      <c r="F349" s="471" t="s">
        <v>7888</v>
      </c>
      <c r="G349" t="s">
        <v>9393</v>
      </c>
      <c r="H349" s="89" t="s">
        <v>7050</v>
      </c>
      <c r="I349" s="89" t="s">
        <v>6361</v>
      </c>
      <c r="J349" s="89" t="s">
        <v>7401</v>
      </c>
      <c r="K349" s="456" t="s">
        <v>6702</v>
      </c>
    </row>
    <row r="350" spans="1:11" ht="28.8" x14ac:dyDescent="0.3">
      <c r="A350" t="s">
        <v>4299</v>
      </c>
      <c r="B350" s="423" t="str">
        <f t="shared" si="9"/>
        <v>Percentage gap in pay between the  undertaking's female and male employees [%]</v>
      </c>
      <c r="C350" t="s">
        <v>4025</v>
      </c>
      <c r="D350" s="470" t="s">
        <v>8360</v>
      </c>
      <c r="E350" s="470" t="s">
        <v>8814</v>
      </c>
      <c r="F350" s="471" t="s">
        <v>7889</v>
      </c>
      <c r="G350" t="s">
        <v>9394</v>
      </c>
      <c r="H350" s="89" t="s">
        <v>7051</v>
      </c>
      <c r="I350" s="89" t="s">
        <v>6362</v>
      </c>
      <c r="J350" s="89" t="s">
        <v>7402</v>
      </c>
      <c r="K350" s="456" t="s">
        <v>6703</v>
      </c>
    </row>
    <row r="351" spans="1:11" ht="28.8" x14ac:dyDescent="0.3">
      <c r="A351" t="s">
        <v>4300</v>
      </c>
      <c r="B351" s="423" t="str">
        <f t="shared" si="9"/>
        <v>Number of employees covered by collective bargaining agreements</v>
      </c>
      <c r="C351" t="s">
        <v>2902</v>
      </c>
      <c r="D351" s="470" t="s">
        <v>8361</v>
      </c>
      <c r="E351" s="470" t="s">
        <v>8815</v>
      </c>
      <c r="F351" s="471" t="s">
        <v>7890</v>
      </c>
      <c r="G351" t="s">
        <v>9395</v>
      </c>
      <c r="H351" s="89" t="s">
        <v>6036</v>
      </c>
      <c r="I351" s="89" t="s">
        <v>5965</v>
      </c>
      <c r="J351" s="89" t="s">
        <v>7403</v>
      </c>
      <c r="K351" s="456" t="s">
        <v>6509</v>
      </c>
    </row>
    <row r="352" spans="1:11" s="12" customFormat="1" ht="29.4" thickBot="1" x14ac:dyDescent="0.35">
      <c r="A352" s="12" t="s">
        <v>4301</v>
      </c>
      <c r="B352" s="457" t="str">
        <f t="shared" si="9"/>
        <v>Percentage of employees covered by collective bargaining agreements [%]</v>
      </c>
      <c r="C352" s="12" t="s">
        <v>3094</v>
      </c>
      <c r="D352" s="478" t="s">
        <v>8362</v>
      </c>
      <c r="E352" s="478" t="s">
        <v>8816</v>
      </c>
      <c r="F352" s="472" t="s">
        <v>7891</v>
      </c>
      <c r="G352" s="12" t="s">
        <v>9396</v>
      </c>
      <c r="H352" s="424" t="s">
        <v>6037</v>
      </c>
      <c r="I352" s="424" t="s">
        <v>5966</v>
      </c>
      <c r="J352" s="424" t="s">
        <v>7404</v>
      </c>
      <c r="K352" s="476" t="s">
        <v>6510</v>
      </c>
    </row>
    <row r="353" spans="1:11" ht="28.8" x14ac:dyDescent="0.3">
      <c r="A353" t="s">
        <v>4302</v>
      </c>
      <c r="B353" s="423" t="str">
        <f t="shared" si="9"/>
        <v>B10 – Number of annual training hours per employee during the reporting period</v>
      </c>
      <c r="C353" t="s">
        <v>7545</v>
      </c>
      <c r="D353" s="470" t="s">
        <v>9528</v>
      </c>
      <c r="E353" s="470" t="s">
        <v>9529</v>
      </c>
      <c r="F353" s="471" t="s">
        <v>9530</v>
      </c>
      <c r="G353" t="s">
        <v>9531</v>
      </c>
      <c r="H353" s="89" t="s">
        <v>7546</v>
      </c>
      <c r="I353" s="89" t="s">
        <v>7547</v>
      </c>
      <c r="J353" s="89" t="s">
        <v>7548</v>
      </c>
      <c r="K353" s="456" t="s">
        <v>7549</v>
      </c>
    </row>
    <row r="354" spans="1:11" s="12" customFormat="1" ht="29.4" thickBot="1" x14ac:dyDescent="0.35">
      <c r="A354" s="12" t="s">
        <v>4303</v>
      </c>
      <c r="B354" s="457" t="str">
        <f t="shared" si="9"/>
        <v>Average number of annual training hours per employee</v>
      </c>
      <c r="C354" s="12" t="s">
        <v>2919</v>
      </c>
      <c r="D354" s="478" t="s">
        <v>8363</v>
      </c>
      <c r="E354" s="478" t="s">
        <v>8817</v>
      </c>
      <c r="F354" s="472" t="s">
        <v>7892</v>
      </c>
      <c r="G354" s="12" t="s">
        <v>9397</v>
      </c>
      <c r="H354" s="424" t="s">
        <v>7052</v>
      </c>
      <c r="I354" s="424" t="s">
        <v>6363</v>
      </c>
      <c r="J354" s="424" t="s">
        <v>7405</v>
      </c>
      <c r="K354" s="476" t="s">
        <v>6704</v>
      </c>
    </row>
    <row r="355" spans="1:11" ht="28.8" x14ac:dyDescent="0.3">
      <c r="A355" t="s">
        <v>4304</v>
      </c>
      <c r="B355" s="423" t="str">
        <f t="shared" si="9"/>
        <v>C5 – Additional (general) workforce characteristics</v>
      </c>
      <c r="C355" t="s">
        <v>33</v>
      </c>
      <c r="D355" s="470" t="s">
        <v>8364</v>
      </c>
      <c r="E355" s="470" t="s">
        <v>8583</v>
      </c>
      <c r="F355" s="471" t="s">
        <v>7893</v>
      </c>
      <c r="G355" t="s">
        <v>9398</v>
      </c>
      <c r="H355" s="89" t="s">
        <v>7053</v>
      </c>
      <c r="I355" s="89" t="s">
        <v>6184</v>
      </c>
      <c r="J355" s="89" t="s">
        <v>7406</v>
      </c>
      <c r="K355" s="456" t="s">
        <v>6564</v>
      </c>
    </row>
    <row r="356" spans="1:11" x14ac:dyDescent="0.3">
      <c r="A356" t="s">
        <v>4305</v>
      </c>
      <c r="B356" s="423" t="str">
        <f t="shared" si="9"/>
        <v>Number of male employees at management level</v>
      </c>
      <c r="C356" t="s">
        <v>3985</v>
      </c>
      <c r="D356" s="470" t="s">
        <v>8365</v>
      </c>
      <c r="E356" s="470" t="s">
        <v>8818</v>
      </c>
      <c r="F356" s="471" t="s">
        <v>7894</v>
      </c>
      <c r="G356" t="s">
        <v>9399</v>
      </c>
      <c r="H356" s="89" t="s">
        <v>7054</v>
      </c>
      <c r="I356" s="89" t="s">
        <v>6364</v>
      </c>
      <c r="J356" s="89" t="s">
        <v>7407</v>
      </c>
      <c r="K356" s="456" t="s">
        <v>6705</v>
      </c>
    </row>
    <row r="357" spans="1:11" x14ac:dyDescent="0.3">
      <c r="A357" t="s">
        <v>4306</v>
      </c>
      <c r="B357" s="423" t="str">
        <f t="shared" si="9"/>
        <v>Number of female employees at management level</v>
      </c>
      <c r="C357" t="s">
        <v>2903</v>
      </c>
      <c r="D357" s="470" t="s">
        <v>8366</v>
      </c>
      <c r="E357" s="470" t="s">
        <v>8819</v>
      </c>
      <c r="F357" s="471" t="s">
        <v>7895</v>
      </c>
      <c r="G357" t="s">
        <v>9400</v>
      </c>
      <c r="H357" s="89" t="s">
        <v>7055</v>
      </c>
      <c r="I357" s="89" t="s">
        <v>6365</v>
      </c>
      <c r="J357" s="89" t="s">
        <v>7408</v>
      </c>
      <c r="K357" s="456" t="s">
        <v>6706</v>
      </c>
    </row>
    <row r="358" spans="1:11" ht="28.8" x14ac:dyDescent="0.3">
      <c r="A358" t="s">
        <v>4307</v>
      </c>
      <c r="B358" s="423" t="str">
        <f t="shared" si="9"/>
        <v>Female-to-male ratio at management level for the reporting period</v>
      </c>
      <c r="C358" t="s">
        <v>2917</v>
      </c>
      <c r="D358" s="470" t="s">
        <v>8367</v>
      </c>
      <c r="E358" s="470" t="s">
        <v>8820</v>
      </c>
      <c r="F358" s="471" t="s">
        <v>7896</v>
      </c>
      <c r="G358" t="s">
        <v>9401</v>
      </c>
      <c r="H358" s="89" t="s">
        <v>7056</v>
      </c>
      <c r="I358" s="89" t="s">
        <v>6366</v>
      </c>
      <c r="J358" s="89" t="s">
        <v>7409</v>
      </c>
      <c r="K358" s="456" t="s">
        <v>6707</v>
      </c>
    </row>
    <row r="359" spans="1:11" ht="28.8" x14ac:dyDescent="0.3">
      <c r="A359" t="s">
        <v>4308</v>
      </c>
      <c r="B359" s="423" t="str">
        <f t="shared" si="9"/>
        <v>Total self-employed workers without personnel that are working exclusively for the undertaking</v>
      </c>
      <c r="C359" t="s">
        <v>3054</v>
      </c>
      <c r="D359" s="470" t="s">
        <v>8368</v>
      </c>
      <c r="E359" s="470" t="s">
        <v>8821</v>
      </c>
      <c r="F359" s="471" t="s">
        <v>7897</v>
      </c>
      <c r="G359" t="s">
        <v>9402</v>
      </c>
      <c r="H359" s="89" t="s">
        <v>7057</v>
      </c>
      <c r="I359" s="89" t="s">
        <v>6367</v>
      </c>
      <c r="J359" s="89" t="s">
        <v>5882</v>
      </c>
      <c r="K359" s="456" t="s">
        <v>6708</v>
      </c>
    </row>
    <row r="360" spans="1:11" s="12" customFormat="1" ht="43.8" thickBot="1" x14ac:dyDescent="0.35">
      <c r="A360" s="12" t="s">
        <v>4309</v>
      </c>
      <c r="B360" s="457" t="str">
        <f t="shared" si="9"/>
        <v>Total temporary workers provided by undertakings primarily engaged in employment activities</v>
      </c>
      <c r="C360" s="12" t="s">
        <v>34</v>
      </c>
      <c r="D360" s="478" t="s">
        <v>8369</v>
      </c>
      <c r="E360" s="478" t="s">
        <v>8822</v>
      </c>
      <c r="F360" s="472" t="s">
        <v>7898</v>
      </c>
      <c r="G360" s="12" t="s">
        <v>9403</v>
      </c>
      <c r="H360" s="424" t="s">
        <v>7058</v>
      </c>
      <c r="I360" s="424" t="s">
        <v>6368</v>
      </c>
      <c r="J360" s="424" t="s">
        <v>7410</v>
      </c>
      <c r="K360" s="476" t="s">
        <v>5793</v>
      </c>
    </row>
    <row r="361" spans="1:11" ht="43.2" x14ac:dyDescent="0.3">
      <c r="A361" t="s">
        <v>4310</v>
      </c>
      <c r="B361" s="423" t="str">
        <f t="shared" si="9"/>
        <v>C6 – Additional own workforce information - Human rights policies and processes</v>
      </c>
      <c r="C361" t="s">
        <v>35</v>
      </c>
      <c r="D361" s="470" t="s">
        <v>8370</v>
      </c>
      <c r="E361" s="470" t="s">
        <v>8823</v>
      </c>
      <c r="F361" s="471" t="s">
        <v>7899</v>
      </c>
      <c r="G361" t="s">
        <v>9404</v>
      </c>
      <c r="H361" s="89" t="s">
        <v>7059</v>
      </c>
      <c r="I361" s="89" t="s">
        <v>6185</v>
      </c>
      <c r="J361" s="89" t="s">
        <v>7411</v>
      </c>
      <c r="K361" s="456" t="s">
        <v>6565</v>
      </c>
    </row>
    <row r="362" spans="1:11" ht="43.2" x14ac:dyDescent="0.3">
      <c r="A362" t="s">
        <v>4311</v>
      </c>
      <c r="B362" s="423" t="str">
        <f t="shared" si="9"/>
        <v>Does the undertaking have a code of conduct or human rights policy for its own workforce?</v>
      </c>
      <c r="C362" t="s">
        <v>36</v>
      </c>
      <c r="D362" s="470" t="s">
        <v>8371</v>
      </c>
      <c r="E362" s="470" t="s">
        <v>8824</v>
      </c>
      <c r="F362" s="471" t="s">
        <v>7900</v>
      </c>
      <c r="G362" t="s">
        <v>9405</v>
      </c>
      <c r="H362" s="89" t="s">
        <v>7060</v>
      </c>
      <c r="I362" s="89" t="s">
        <v>6369</v>
      </c>
      <c r="J362" s="89" t="s">
        <v>7412</v>
      </c>
      <c r="K362" s="456" t="s">
        <v>6709</v>
      </c>
    </row>
    <row r="363" spans="1:11" x14ac:dyDescent="0.3">
      <c r="A363" t="s">
        <v>4312</v>
      </c>
      <c r="B363" s="423" t="str">
        <f t="shared" si="9"/>
        <v>If yes does this cover:</v>
      </c>
      <c r="C363" t="s">
        <v>4048</v>
      </c>
      <c r="D363" s="470" t="s">
        <v>8372</v>
      </c>
      <c r="E363" s="470" t="s">
        <v>8825</v>
      </c>
      <c r="F363" s="471" t="s">
        <v>7901</v>
      </c>
      <c r="G363" t="s">
        <v>9406</v>
      </c>
      <c r="H363" s="89" t="s">
        <v>7061</v>
      </c>
      <c r="I363" s="89" t="s">
        <v>6370</v>
      </c>
      <c r="J363" s="89" t="s">
        <v>7413</v>
      </c>
      <c r="K363" s="456" t="s">
        <v>6710</v>
      </c>
    </row>
    <row r="364" spans="1:11" x14ac:dyDescent="0.3">
      <c r="A364" t="s">
        <v>4313</v>
      </c>
      <c r="B364" s="423" t="str">
        <f t="shared" si="9"/>
        <v>· child labour</v>
      </c>
      <c r="C364" t="s">
        <v>4500</v>
      </c>
      <c r="D364" s="470" t="s">
        <v>8373</v>
      </c>
      <c r="E364" s="470" t="s">
        <v>8826</v>
      </c>
      <c r="F364" s="471" t="s">
        <v>7902</v>
      </c>
      <c r="G364" t="s">
        <v>9407</v>
      </c>
      <c r="H364" s="89" t="s">
        <v>9029</v>
      </c>
      <c r="I364" s="89" t="s">
        <v>9028</v>
      </c>
      <c r="J364" s="89" t="s">
        <v>6094</v>
      </c>
      <c r="K364" s="456" t="s">
        <v>5794</v>
      </c>
    </row>
    <row r="365" spans="1:11" x14ac:dyDescent="0.3">
      <c r="A365" t="s">
        <v>4314</v>
      </c>
      <c r="B365" s="423" t="str">
        <f t="shared" si="9"/>
        <v>· forced labour</v>
      </c>
      <c r="C365" t="s">
        <v>4501</v>
      </c>
      <c r="D365" s="470" t="s">
        <v>8374</v>
      </c>
      <c r="E365" s="470" t="s">
        <v>8827</v>
      </c>
      <c r="F365" s="471" t="s">
        <v>7903</v>
      </c>
      <c r="G365" t="s">
        <v>9408</v>
      </c>
      <c r="H365" s="89" t="s">
        <v>6062</v>
      </c>
      <c r="I365" s="89" t="s">
        <v>9030</v>
      </c>
      <c r="J365" s="89" t="s">
        <v>5883</v>
      </c>
      <c r="K365" s="456" t="s">
        <v>5795</v>
      </c>
    </row>
    <row r="366" spans="1:11" x14ac:dyDescent="0.3">
      <c r="A366" t="s">
        <v>4315</v>
      </c>
      <c r="B366" s="423" t="str">
        <f t="shared" si="9"/>
        <v>· human trafficking</v>
      </c>
      <c r="C366" t="s">
        <v>4502</v>
      </c>
      <c r="D366" s="470" t="s">
        <v>8375</v>
      </c>
      <c r="E366" s="470" t="s">
        <v>8828</v>
      </c>
      <c r="F366" s="471" t="s">
        <v>7904</v>
      </c>
      <c r="G366" t="s">
        <v>9409</v>
      </c>
      <c r="H366" s="89" t="s">
        <v>7062</v>
      </c>
      <c r="I366" s="89" t="s">
        <v>9031</v>
      </c>
      <c r="J366" s="89" t="s">
        <v>7414</v>
      </c>
      <c r="K366" s="456" t="s">
        <v>6711</v>
      </c>
    </row>
    <row r="367" spans="1:11" x14ac:dyDescent="0.3">
      <c r="A367" t="s">
        <v>4316</v>
      </c>
      <c r="B367" s="423" t="str">
        <f t="shared" si="9"/>
        <v>· discrimination</v>
      </c>
      <c r="C367" t="s">
        <v>4503</v>
      </c>
      <c r="D367" s="470" t="s">
        <v>8376</v>
      </c>
      <c r="E367" s="470" t="s">
        <v>4503</v>
      </c>
      <c r="F367" s="471" t="s">
        <v>7905</v>
      </c>
      <c r="G367" t="s">
        <v>9410</v>
      </c>
      <c r="H367" s="89" t="s">
        <v>5689</v>
      </c>
      <c r="I367" s="89" t="s">
        <v>9032</v>
      </c>
      <c r="J367" s="89" t="s">
        <v>5884</v>
      </c>
      <c r="K367" s="456" t="s">
        <v>5796</v>
      </c>
    </row>
    <row r="368" spans="1:11" x14ac:dyDescent="0.3">
      <c r="A368" t="s">
        <v>4317</v>
      </c>
      <c r="B368" s="423" t="str">
        <f t="shared" si="9"/>
        <v>· accident prevention</v>
      </c>
      <c r="C368" t="s">
        <v>4504</v>
      </c>
      <c r="D368" s="470" t="s">
        <v>8377</v>
      </c>
      <c r="E368" s="470" t="s">
        <v>8973</v>
      </c>
      <c r="F368" s="471" t="s">
        <v>7906</v>
      </c>
      <c r="G368" t="s">
        <v>9411</v>
      </c>
      <c r="H368" s="89" t="s">
        <v>7063</v>
      </c>
      <c r="I368" s="89" t="s">
        <v>9033</v>
      </c>
      <c r="J368" s="89" t="s">
        <v>9035</v>
      </c>
      <c r="K368" s="456" t="s">
        <v>5797</v>
      </c>
    </row>
    <row r="369" spans="1:11" x14ac:dyDescent="0.3">
      <c r="A369" t="s">
        <v>4318</v>
      </c>
      <c r="B369" s="423" t="str">
        <f t="shared" si="9"/>
        <v>· other? ( if yes specify)</v>
      </c>
      <c r="C369" t="s">
        <v>4505</v>
      </c>
      <c r="D369" s="470" t="s">
        <v>8378</v>
      </c>
      <c r="E369" s="470" t="s">
        <v>8829</v>
      </c>
      <c r="F369" s="471" t="s">
        <v>7907</v>
      </c>
      <c r="G369" t="s">
        <v>9412</v>
      </c>
      <c r="H369" s="89" t="s">
        <v>8996</v>
      </c>
      <c r="I369" s="89" t="s">
        <v>9034</v>
      </c>
      <c r="J369" s="89" t="s">
        <v>9036</v>
      </c>
      <c r="K369" s="456" t="s">
        <v>6712</v>
      </c>
    </row>
    <row r="370" spans="1:11" ht="43.2" x14ac:dyDescent="0.3">
      <c r="A370" t="s">
        <v>4319</v>
      </c>
      <c r="B370" s="423" t="str">
        <f t="shared" si="9"/>
        <v>Specify other types of content covered by the code of conduct or human rights policy</v>
      </c>
      <c r="C370" t="s">
        <v>3102</v>
      </c>
      <c r="D370" s="470" t="s">
        <v>8379</v>
      </c>
      <c r="E370" s="470" t="s">
        <v>8830</v>
      </c>
      <c r="F370" s="471" t="s">
        <v>7908</v>
      </c>
      <c r="G370" t="s">
        <v>9413</v>
      </c>
      <c r="H370" s="89" t="s">
        <v>7064</v>
      </c>
      <c r="I370" s="89" t="s">
        <v>6371</v>
      </c>
      <c r="J370" s="89" t="s">
        <v>7415</v>
      </c>
      <c r="K370" s="456" t="s">
        <v>6713</v>
      </c>
    </row>
    <row r="371" spans="1:11" s="12" customFormat="1" ht="29.4" thickBot="1" x14ac:dyDescent="0.35">
      <c r="A371" s="12" t="s">
        <v>4320</v>
      </c>
      <c r="B371" s="457" t="str">
        <f t="shared" si="9"/>
        <v>Does the undertaking have a complaint-handling mechanism for its own workforce?</v>
      </c>
      <c r="C371" s="12" t="s">
        <v>3986</v>
      </c>
      <c r="D371" s="478" t="s">
        <v>8380</v>
      </c>
      <c r="E371" s="482" t="s">
        <v>8831</v>
      </c>
      <c r="F371" s="472" t="s">
        <v>7909</v>
      </c>
      <c r="G371" s="12" t="s">
        <v>9414</v>
      </c>
      <c r="H371" s="424" t="s">
        <v>7065</v>
      </c>
      <c r="I371" s="424" t="s">
        <v>6372</v>
      </c>
      <c r="J371" s="424" t="s">
        <v>7416</v>
      </c>
      <c r="K371" s="476" t="s">
        <v>6714</v>
      </c>
    </row>
    <row r="372" spans="1:11" ht="28.8" x14ac:dyDescent="0.3">
      <c r="A372" t="s">
        <v>4321</v>
      </c>
      <c r="B372" s="423" t="str">
        <f t="shared" si="9"/>
        <v>C7 – Severe negative human rights incidents</v>
      </c>
      <c r="C372" t="s">
        <v>37</v>
      </c>
      <c r="D372" s="470" t="s">
        <v>8381</v>
      </c>
      <c r="E372" s="470" t="s">
        <v>8584</v>
      </c>
      <c r="F372" s="471" t="s">
        <v>7910</v>
      </c>
      <c r="G372" t="s">
        <v>9415</v>
      </c>
      <c r="H372" s="89" t="s">
        <v>7066</v>
      </c>
      <c r="I372" s="89" t="s">
        <v>6186</v>
      </c>
      <c r="J372" s="89" t="s">
        <v>7417</v>
      </c>
      <c r="K372" s="456" t="s">
        <v>6715</v>
      </c>
    </row>
    <row r="373" spans="1:11" ht="43.2" x14ac:dyDescent="0.3">
      <c r="A373" t="s">
        <v>4322</v>
      </c>
      <c r="B373" s="423" t="str">
        <f t="shared" si="9"/>
        <v>Does the undertaking have confirmed incidents in its own workforce?</v>
      </c>
      <c r="C373" t="s">
        <v>3017</v>
      </c>
      <c r="D373" s="470" t="s">
        <v>8382</v>
      </c>
      <c r="E373" s="470" t="s">
        <v>8832</v>
      </c>
      <c r="F373" s="471" t="s">
        <v>7911</v>
      </c>
      <c r="G373" t="s">
        <v>9416</v>
      </c>
      <c r="H373" s="89" t="s">
        <v>7067</v>
      </c>
      <c r="I373" s="89" t="s">
        <v>6373</v>
      </c>
      <c r="J373" s="89" t="s">
        <v>7418</v>
      </c>
      <c r="K373" s="456" t="s">
        <v>6716</v>
      </c>
    </row>
    <row r="374" spans="1:11" x14ac:dyDescent="0.3">
      <c r="A374" t="s">
        <v>4323</v>
      </c>
      <c r="B374" s="423" t="str">
        <f t="shared" si="9"/>
        <v>If yes are incidents related to:</v>
      </c>
      <c r="C374" t="s">
        <v>4049</v>
      </c>
      <c r="D374" s="470" t="s">
        <v>8383</v>
      </c>
      <c r="E374" s="470" t="s">
        <v>8833</v>
      </c>
      <c r="F374" s="471" t="s">
        <v>7912</v>
      </c>
      <c r="G374" t="s">
        <v>9417</v>
      </c>
      <c r="H374" s="89" t="s">
        <v>7068</v>
      </c>
      <c r="I374" s="89" t="s">
        <v>6374</v>
      </c>
      <c r="J374" s="89" t="s">
        <v>7419</v>
      </c>
      <c r="K374" s="456" t="s">
        <v>6717</v>
      </c>
    </row>
    <row r="375" spans="1:11" ht="28.8" x14ac:dyDescent="0.3">
      <c r="A375" t="s">
        <v>4324</v>
      </c>
      <c r="B375" s="423" t="str">
        <f t="shared" si="9"/>
        <v>Specify other human rights related to the confirmed incidents</v>
      </c>
      <c r="C375" t="s">
        <v>3541</v>
      </c>
      <c r="D375" s="470" t="s">
        <v>8384</v>
      </c>
      <c r="E375" s="470" t="s">
        <v>8834</v>
      </c>
      <c r="F375" s="471" t="s">
        <v>7913</v>
      </c>
      <c r="G375" t="s">
        <v>9418</v>
      </c>
      <c r="H375" s="89" t="s">
        <v>7069</v>
      </c>
      <c r="I375" s="89" t="s">
        <v>6375</v>
      </c>
      <c r="J375" s="89" t="s">
        <v>7420</v>
      </c>
      <c r="K375" s="456" t="s">
        <v>6718</v>
      </c>
    </row>
    <row r="376" spans="1:11" ht="57.6" x14ac:dyDescent="0.3">
      <c r="A376" t="s">
        <v>4325</v>
      </c>
      <c r="B376" s="423" t="str">
        <f t="shared" si="9"/>
        <v>Description of actions taken to address the confirmed incidents</v>
      </c>
      <c r="C376" t="s">
        <v>4001</v>
      </c>
      <c r="D376" s="470" t="s">
        <v>8385</v>
      </c>
      <c r="E376" s="470" t="s">
        <v>8835</v>
      </c>
      <c r="F376" s="471" t="s">
        <v>7914</v>
      </c>
      <c r="G376" t="s">
        <v>9419</v>
      </c>
      <c r="H376" s="89" t="s">
        <v>7070</v>
      </c>
      <c r="I376" s="89" t="s">
        <v>6376</v>
      </c>
      <c r="J376" s="89" t="s">
        <v>7421</v>
      </c>
      <c r="K376" s="456" t="s">
        <v>6719</v>
      </c>
    </row>
    <row r="377" spans="1:11" ht="72" x14ac:dyDescent="0.3">
      <c r="A377" t="s">
        <v>4326</v>
      </c>
      <c r="B377" s="423" t="str">
        <f t="shared" si="9"/>
        <v>Is the undertaking aware of any confirmed incidents involving workers in the value chain affected communities consumers and end-users?</v>
      </c>
      <c r="C377" t="s">
        <v>4050</v>
      </c>
      <c r="D377" s="470" t="s">
        <v>8386</v>
      </c>
      <c r="E377" s="470" t="s">
        <v>8836</v>
      </c>
      <c r="F377" s="471" t="s">
        <v>7915</v>
      </c>
      <c r="G377" t="s">
        <v>9420</v>
      </c>
      <c r="H377" s="89" t="s">
        <v>7071</v>
      </c>
      <c r="I377" s="89" t="s">
        <v>6377</v>
      </c>
      <c r="J377" s="89" t="s">
        <v>7422</v>
      </c>
      <c r="K377" s="456" t="s">
        <v>6720</v>
      </c>
    </row>
    <row r="378" spans="1:11" s="12" customFormat="1" ht="58.2" thickBot="1" x14ac:dyDescent="0.35">
      <c r="A378" s="12" t="s">
        <v>4327</v>
      </c>
      <c r="B378" s="457" t="str">
        <f t="shared" si="9"/>
        <v>Specification of any confirmed incident involving workers in the value chain affected communities consumers and end-users</v>
      </c>
      <c r="C378" s="12" t="s">
        <v>4051</v>
      </c>
      <c r="D378" s="478" t="s">
        <v>8387</v>
      </c>
      <c r="E378" s="478" t="s">
        <v>8837</v>
      </c>
      <c r="F378" s="472" t="s">
        <v>7916</v>
      </c>
      <c r="G378" s="12" t="s">
        <v>9421</v>
      </c>
      <c r="H378" s="424" t="s">
        <v>7072</v>
      </c>
      <c r="I378" s="424" t="s">
        <v>6378</v>
      </c>
      <c r="J378" s="424" t="s">
        <v>7423</v>
      </c>
      <c r="K378" s="476" t="s">
        <v>6721</v>
      </c>
    </row>
    <row r="379" spans="1:11" s="119" customFormat="1" ht="29.4" thickBot="1" x14ac:dyDescent="0.35">
      <c r="A379" s="119" t="s">
        <v>4328</v>
      </c>
      <c r="B379" s="459" t="str">
        <f t="shared" si="9"/>
        <v>Disclosure of any other social and or entity specific social disclosures</v>
      </c>
      <c r="C379" s="119" t="s">
        <v>4057</v>
      </c>
      <c r="D379" s="483" t="s">
        <v>8388</v>
      </c>
      <c r="E379" s="483" t="s">
        <v>8590</v>
      </c>
      <c r="F379" s="473" t="s">
        <v>7917</v>
      </c>
      <c r="G379" s="119" t="s">
        <v>9422</v>
      </c>
      <c r="H379" s="460" t="s">
        <v>7073</v>
      </c>
      <c r="I379" s="460" t="s">
        <v>6379</v>
      </c>
      <c r="J379" s="460" t="s">
        <v>7424</v>
      </c>
      <c r="K379" s="477" t="s">
        <v>6722</v>
      </c>
    </row>
    <row r="380" spans="1:11" ht="28.8" x14ac:dyDescent="0.3">
      <c r="A380" t="s">
        <v>4329</v>
      </c>
      <c r="B380" t="str">
        <f t="shared" si="9"/>
        <v>B11 – Convictions and fines for corruption and bribery</v>
      </c>
      <c r="C380" t="s">
        <v>38</v>
      </c>
      <c r="D380" s="470" t="s">
        <v>8389</v>
      </c>
      <c r="E380" s="470" t="s">
        <v>8577</v>
      </c>
      <c r="F380" s="471" t="s">
        <v>7918</v>
      </c>
      <c r="G380" t="s">
        <v>9423</v>
      </c>
      <c r="H380" s="89" t="s">
        <v>7074</v>
      </c>
      <c r="I380" s="89" t="s">
        <v>6180</v>
      </c>
      <c r="J380" s="89" t="s">
        <v>5885</v>
      </c>
      <c r="K380" s="456" t="s">
        <v>6723</v>
      </c>
    </row>
    <row r="381" spans="1:11" ht="28.8" x14ac:dyDescent="0.3">
      <c r="A381" t="s">
        <v>4330</v>
      </c>
      <c r="B381" t="str">
        <f t="shared" si="9"/>
        <v>Has the undertaking incurred in convictions and fines in the reporting period?</v>
      </c>
      <c r="C381" t="s">
        <v>3089</v>
      </c>
      <c r="D381" s="470" t="s">
        <v>8390</v>
      </c>
      <c r="E381" s="470" t="s">
        <v>8838</v>
      </c>
      <c r="F381" s="471" t="s">
        <v>7919</v>
      </c>
      <c r="G381" t="s">
        <v>9424</v>
      </c>
      <c r="H381" s="89" t="s">
        <v>7075</v>
      </c>
      <c r="I381" s="89" t="s">
        <v>6380</v>
      </c>
      <c r="J381" s="89" t="s">
        <v>7425</v>
      </c>
      <c r="K381" s="456" t="s">
        <v>6724</v>
      </c>
    </row>
    <row r="382" spans="1:11" ht="43.2" x14ac:dyDescent="0.3">
      <c r="A382" t="s">
        <v>4331</v>
      </c>
      <c r="B382" t="str">
        <f t="shared" si="9"/>
        <v>Total number of convictions  for the violation of anti-corruption and anti-bribery laws</v>
      </c>
      <c r="C382" t="s">
        <v>3109</v>
      </c>
      <c r="D382" s="470" t="s">
        <v>8391</v>
      </c>
      <c r="E382" s="470" t="s">
        <v>8839</v>
      </c>
      <c r="F382" s="471" t="s">
        <v>7920</v>
      </c>
      <c r="G382" t="s">
        <v>9425</v>
      </c>
      <c r="H382" s="89" t="s">
        <v>7076</v>
      </c>
      <c r="I382" s="89" t="s">
        <v>6381</v>
      </c>
      <c r="J382" s="89" t="s">
        <v>6095</v>
      </c>
      <c r="K382" s="456" t="s">
        <v>6725</v>
      </c>
    </row>
    <row r="383" spans="1:11" s="12" customFormat="1" ht="43.8" thickBot="1" x14ac:dyDescent="0.35">
      <c r="A383" s="12" t="s">
        <v>4332</v>
      </c>
      <c r="B383" s="12" t="str">
        <f t="shared" si="9"/>
        <v>Total amount of fines for the violation of anti-corruption and anti-bribery laws</v>
      </c>
      <c r="C383" s="12" t="s">
        <v>4508</v>
      </c>
      <c r="D383" s="478" t="s">
        <v>8392</v>
      </c>
      <c r="E383" s="478" t="s">
        <v>8840</v>
      </c>
      <c r="F383" s="472" t="s">
        <v>7921</v>
      </c>
      <c r="G383" s="12" t="s">
        <v>9426</v>
      </c>
      <c r="H383" s="424" t="s">
        <v>7077</v>
      </c>
      <c r="I383" s="424" t="s">
        <v>6382</v>
      </c>
      <c r="J383" s="424" t="s">
        <v>7426</v>
      </c>
      <c r="K383" s="476" t="s">
        <v>6726</v>
      </c>
    </row>
    <row r="384" spans="1:11" x14ac:dyDescent="0.3">
      <c r="A384" t="s">
        <v>4333</v>
      </c>
      <c r="B384" t="str">
        <f t="shared" si="9"/>
        <v>C8 – Revenues from certain activities</v>
      </c>
      <c r="C384" t="s">
        <v>4616</v>
      </c>
      <c r="D384" s="470" t="s">
        <v>8393</v>
      </c>
      <c r="E384" s="470" t="s">
        <v>8841</v>
      </c>
      <c r="F384" s="471" t="s">
        <v>7922</v>
      </c>
      <c r="G384" t="s">
        <v>9427</v>
      </c>
      <c r="H384" s="89" t="s">
        <v>7078</v>
      </c>
      <c r="I384" s="89" t="s">
        <v>5967</v>
      </c>
      <c r="J384" s="89" t="s">
        <v>7427</v>
      </c>
      <c r="K384" s="456" t="s">
        <v>6727</v>
      </c>
    </row>
    <row r="385" spans="1:11" ht="28.8" x14ac:dyDescent="0.3">
      <c r="A385" t="s">
        <v>4334</v>
      </c>
      <c r="B385" t="str">
        <f t="shared" si="9"/>
        <v>Is the undertaking deriving revenues from one of the activities listed below?</v>
      </c>
      <c r="C385" t="s">
        <v>3090</v>
      </c>
      <c r="D385" s="470" t="s">
        <v>8394</v>
      </c>
      <c r="E385" s="470" t="s">
        <v>8842</v>
      </c>
      <c r="F385" s="471" t="s">
        <v>7923</v>
      </c>
      <c r="G385" t="s">
        <v>9428</v>
      </c>
      <c r="H385" s="89" t="s">
        <v>7079</v>
      </c>
      <c r="I385" s="89" t="s">
        <v>6383</v>
      </c>
      <c r="J385" s="89" t="s">
        <v>7428</v>
      </c>
      <c r="K385" s="456" t="s">
        <v>5798</v>
      </c>
    </row>
    <row r="386" spans="1:11" x14ac:dyDescent="0.3">
      <c r="A386" t="s">
        <v>4335</v>
      </c>
      <c r="B386" t="str">
        <f t="shared" si="9"/>
        <v>Monetary amount in</v>
      </c>
      <c r="C386" t="s">
        <v>3987</v>
      </c>
      <c r="D386" s="470" t="s">
        <v>8395</v>
      </c>
      <c r="E386" s="470" t="s">
        <v>8843</v>
      </c>
      <c r="F386" s="471" t="s">
        <v>7668</v>
      </c>
      <c r="G386" t="s">
        <v>9429</v>
      </c>
      <c r="H386" s="89" t="s">
        <v>7080</v>
      </c>
      <c r="I386" s="89" t="s">
        <v>5968</v>
      </c>
      <c r="J386" s="89" t="s">
        <v>5886</v>
      </c>
      <c r="K386" s="456" t="s">
        <v>5799</v>
      </c>
    </row>
    <row r="387" spans="1:11" ht="43.2" x14ac:dyDescent="0.3">
      <c r="A387" t="s">
        <v>4336</v>
      </c>
      <c r="B387" t="str">
        <f t="shared" si="9"/>
        <v>Revenue derived from controversial weapons (anti-personnel mines cluster munitions chemical weapons and biological weapons)</v>
      </c>
      <c r="C387" t="s">
        <v>4052</v>
      </c>
      <c r="D387" s="470" t="s">
        <v>8396</v>
      </c>
      <c r="E387" s="470" t="s">
        <v>8844</v>
      </c>
      <c r="F387" s="471" t="s">
        <v>7924</v>
      </c>
      <c r="G387" t="s">
        <v>9430</v>
      </c>
      <c r="H387" s="89" t="s">
        <v>7081</v>
      </c>
      <c r="I387" s="89" t="s">
        <v>6384</v>
      </c>
      <c r="J387" s="89" t="s">
        <v>7429</v>
      </c>
      <c r="K387" s="456" t="s">
        <v>6511</v>
      </c>
    </row>
    <row r="388" spans="1:11" ht="28.8" x14ac:dyDescent="0.3">
      <c r="A388" t="s">
        <v>4337</v>
      </c>
      <c r="B388" t="str">
        <f t="shared" ref="B388:B451" si="10">INDEX(C388:K388,MATCH(template_selected_display_language,$C$3:$K$3,0))</f>
        <v>Revenue derived from cultivation and production of tobacco</v>
      </c>
      <c r="C388" t="s">
        <v>3043</v>
      </c>
      <c r="D388" s="470" t="s">
        <v>8397</v>
      </c>
      <c r="E388" s="470" t="s">
        <v>8845</v>
      </c>
      <c r="F388" s="471" t="s">
        <v>7925</v>
      </c>
      <c r="G388" t="s">
        <v>9431</v>
      </c>
      <c r="H388" s="89" t="s">
        <v>7082</v>
      </c>
      <c r="I388" s="89" t="s">
        <v>6385</v>
      </c>
      <c r="J388" s="89" t="s">
        <v>7430</v>
      </c>
      <c r="K388" s="456" t="s">
        <v>6728</v>
      </c>
    </row>
    <row r="389" spans="1:11" x14ac:dyDescent="0.3">
      <c r="A389" t="s">
        <v>4338</v>
      </c>
      <c r="B389" t="str">
        <f t="shared" si="10"/>
        <v>Revenue derived from coal</v>
      </c>
      <c r="C389" t="s">
        <v>3042</v>
      </c>
      <c r="D389" s="470" t="s">
        <v>8398</v>
      </c>
      <c r="E389" s="470" t="s">
        <v>8846</v>
      </c>
      <c r="F389" s="471" t="s">
        <v>7926</v>
      </c>
      <c r="G389" t="s">
        <v>9432</v>
      </c>
      <c r="H389" s="89" t="s">
        <v>6038</v>
      </c>
      <c r="I389" s="89" t="s">
        <v>6386</v>
      </c>
      <c r="J389" s="89" t="s">
        <v>7431</v>
      </c>
      <c r="K389" s="456" t="s">
        <v>5800</v>
      </c>
    </row>
    <row r="390" spans="1:11" x14ac:dyDescent="0.3">
      <c r="A390" t="s">
        <v>4339</v>
      </c>
      <c r="B390" t="str">
        <f t="shared" si="10"/>
        <v>Revenue derived from oil</v>
      </c>
      <c r="C390" t="s">
        <v>3041</v>
      </c>
      <c r="D390" s="470" t="s">
        <v>8399</v>
      </c>
      <c r="E390" s="470" t="s">
        <v>8847</v>
      </c>
      <c r="F390" s="471" t="s">
        <v>7927</v>
      </c>
      <c r="G390" t="s">
        <v>9433</v>
      </c>
      <c r="H390" s="89" t="s">
        <v>7083</v>
      </c>
      <c r="I390" s="89" t="s">
        <v>6387</v>
      </c>
      <c r="J390" s="89" t="s">
        <v>7432</v>
      </c>
      <c r="K390" s="456" t="s">
        <v>5801</v>
      </c>
    </row>
    <row r="391" spans="1:11" x14ac:dyDescent="0.3">
      <c r="A391" t="s">
        <v>4340</v>
      </c>
      <c r="B391" t="str">
        <f t="shared" si="10"/>
        <v>Revenue derived from gas</v>
      </c>
      <c r="C391" t="s">
        <v>3040</v>
      </c>
      <c r="D391" s="470" t="s">
        <v>8400</v>
      </c>
      <c r="E391" s="470" t="s">
        <v>8848</v>
      </c>
      <c r="F391" s="471" t="s">
        <v>7928</v>
      </c>
      <c r="G391" t="s">
        <v>9434</v>
      </c>
      <c r="H391" s="89" t="s">
        <v>7084</v>
      </c>
      <c r="I391" s="89" t="s">
        <v>6388</v>
      </c>
      <c r="J391" s="89" t="s">
        <v>7433</v>
      </c>
      <c r="K391" s="456" t="s">
        <v>6100</v>
      </c>
    </row>
    <row r="392" spans="1:11" ht="144" x14ac:dyDescent="0.3">
      <c r="A392" t="s">
        <v>4341</v>
      </c>
      <c r="B392" t="str">
        <f t="shared" si="10"/>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92" t="s">
        <v>4632</v>
      </c>
      <c r="D392" s="470" t="s">
        <v>8401</v>
      </c>
      <c r="E392" s="470" t="s">
        <v>8849</v>
      </c>
      <c r="F392" s="471" t="s">
        <v>7929</v>
      </c>
      <c r="G392" t="s">
        <v>9435</v>
      </c>
      <c r="H392" s="89" t="s">
        <v>7085</v>
      </c>
      <c r="I392" s="89" t="s">
        <v>6389</v>
      </c>
      <c r="J392" s="89" t="s">
        <v>7434</v>
      </c>
      <c r="K392" s="456" t="s">
        <v>6512</v>
      </c>
    </row>
    <row r="393" spans="1:11" s="12" customFormat="1" ht="29.4" thickBot="1" x14ac:dyDescent="0.35">
      <c r="A393" s="12" t="s">
        <v>4342</v>
      </c>
      <c r="B393" s="12" t="str">
        <f t="shared" si="10"/>
        <v>Revenue derived from chemicals production</v>
      </c>
      <c r="C393" s="12" t="s">
        <v>3039</v>
      </c>
      <c r="D393" s="478" t="s">
        <v>8402</v>
      </c>
      <c r="E393" s="478" t="s">
        <v>8850</v>
      </c>
      <c r="F393" s="472" t="s">
        <v>7930</v>
      </c>
      <c r="G393" s="12" t="s">
        <v>9436</v>
      </c>
      <c r="H393" s="424" t="s">
        <v>7086</v>
      </c>
      <c r="I393" s="424" t="s">
        <v>6390</v>
      </c>
      <c r="J393" s="424" t="s">
        <v>7435</v>
      </c>
      <c r="K393" s="476" t="s">
        <v>5802</v>
      </c>
    </row>
    <row r="394" spans="1:11" ht="28.8" x14ac:dyDescent="0.3">
      <c r="A394" t="s">
        <v>4343</v>
      </c>
      <c r="B394" t="str">
        <f t="shared" si="10"/>
        <v>C8 – Exclusion from EU reference benchmarks</v>
      </c>
      <c r="C394" t="s">
        <v>4026</v>
      </c>
      <c r="D394" s="470" t="s">
        <v>8403</v>
      </c>
      <c r="E394" s="470" t="s">
        <v>8851</v>
      </c>
      <c r="F394" s="471" t="s">
        <v>7931</v>
      </c>
      <c r="G394" t="s">
        <v>9437</v>
      </c>
      <c r="H394" s="89" t="s">
        <v>7087</v>
      </c>
      <c r="I394" s="89" t="s">
        <v>6391</v>
      </c>
      <c r="J394" s="89" t="s">
        <v>7436</v>
      </c>
      <c r="K394" s="456" t="s">
        <v>5803</v>
      </c>
    </row>
    <row r="395" spans="1:11" ht="28.8" x14ac:dyDescent="0.3">
      <c r="A395" t="s">
        <v>4344</v>
      </c>
      <c r="B395" t="str">
        <f t="shared" si="10"/>
        <v>Undertakings are excluded from the EU Paris-aligned Benchmarks if they  derive:</v>
      </c>
      <c r="C395" t="s">
        <v>2901</v>
      </c>
      <c r="D395" s="470" t="s">
        <v>8404</v>
      </c>
      <c r="E395" s="470" t="s">
        <v>8852</v>
      </c>
      <c r="F395" s="471" t="s">
        <v>7932</v>
      </c>
      <c r="G395" t="s">
        <v>9438</v>
      </c>
      <c r="H395" s="89" t="s">
        <v>7088</v>
      </c>
      <c r="I395" s="89" t="s">
        <v>6392</v>
      </c>
      <c r="J395" s="89" t="s">
        <v>7437</v>
      </c>
      <c r="K395" s="456" t="s">
        <v>6796</v>
      </c>
    </row>
    <row r="396" spans="1:11" ht="43.2" x14ac:dyDescent="0.3">
      <c r="A396" t="s">
        <v>4345</v>
      </c>
      <c r="B396" t="str">
        <f t="shared" si="10"/>
        <v>1% or more of their revenues from exploration mining extraction distribution or refining of hard coal and lignite</v>
      </c>
      <c r="C396" t="s">
        <v>4002</v>
      </c>
      <c r="D396" s="470" t="s">
        <v>8405</v>
      </c>
      <c r="E396" s="470" t="s">
        <v>8853</v>
      </c>
      <c r="F396" s="471" t="s">
        <v>7933</v>
      </c>
      <c r="G396" t="s">
        <v>9439</v>
      </c>
      <c r="H396" s="89" t="s">
        <v>7089</v>
      </c>
      <c r="I396" s="89" t="s">
        <v>6393</v>
      </c>
      <c r="J396" s="89" t="s">
        <v>7438</v>
      </c>
      <c r="K396" s="456" t="s">
        <v>6493</v>
      </c>
    </row>
    <row r="397" spans="1:11" ht="43.2" x14ac:dyDescent="0.3">
      <c r="A397" t="s">
        <v>4346</v>
      </c>
      <c r="B397" t="str">
        <f t="shared" si="10"/>
        <v>10% or more of their revenues from the exploration extraction distribution or refining of oil fuels</v>
      </c>
      <c r="C397" t="s">
        <v>4003</v>
      </c>
      <c r="D397" s="470" t="s">
        <v>8406</v>
      </c>
      <c r="E397" s="470" t="s">
        <v>8854</v>
      </c>
      <c r="F397" s="471" t="s">
        <v>7934</v>
      </c>
      <c r="G397" t="s">
        <v>9440</v>
      </c>
      <c r="H397" s="89" t="s">
        <v>7090</v>
      </c>
      <c r="I397" s="89" t="s">
        <v>6394</v>
      </c>
      <c r="J397" s="89" t="s">
        <v>7439</v>
      </c>
      <c r="K397" s="456" t="s">
        <v>6729</v>
      </c>
    </row>
    <row r="398" spans="1:11" ht="43.2" x14ac:dyDescent="0.3">
      <c r="A398" t="s">
        <v>4347</v>
      </c>
      <c r="B398" t="str">
        <f t="shared" si="10"/>
        <v>50% or more of their revenues from the exploration extraction manufacturing or distribution of gaseous fuels</v>
      </c>
      <c r="C398" t="s">
        <v>4004</v>
      </c>
      <c r="D398" s="470" t="s">
        <v>8407</v>
      </c>
      <c r="E398" s="470" t="s">
        <v>8855</v>
      </c>
      <c r="F398" s="471" t="s">
        <v>7935</v>
      </c>
      <c r="G398" t="s">
        <v>9441</v>
      </c>
      <c r="H398" s="89" t="s">
        <v>7091</v>
      </c>
      <c r="I398" s="89" t="s">
        <v>6395</v>
      </c>
      <c r="J398" s="89" t="s">
        <v>7440</v>
      </c>
      <c r="K398" s="456" t="s">
        <v>6730</v>
      </c>
    </row>
    <row r="399" spans="1:11" ht="57.6" x14ac:dyDescent="0.3">
      <c r="A399" t="s">
        <v>4348</v>
      </c>
      <c r="B399" t="str">
        <f t="shared" si="10"/>
        <v>50% or more of their revenues from electricity generation with a GHG intensity of more than 100g CO2 e kWh</v>
      </c>
      <c r="C399" t="s">
        <v>4058</v>
      </c>
      <c r="D399" s="470" t="s">
        <v>8408</v>
      </c>
      <c r="E399" s="470" t="s">
        <v>8856</v>
      </c>
      <c r="F399" s="471" t="s">
        <v>7936</v>
      </c>
      <c r="G399" t="s">
        <v>9442</v>
      </c>
      <c r="H399" s="89" t="s">
        <v>7092</v>
      </c>
      <c r="I399" s="89" t="s">
        <v>6396</v>
      </c>
      <c r="J399" s="89" t="s">
        <v>7441</v>
      </c>
      <c r="K399" s="456" t="s">
        <v>6731</v>
      </c>
    </row>
    <row r="400" spans="1:11" x14ac:dyDescent="0.3">
      <c r="A400" t="s">
        <v>4349</v>
      </c>
      <c r="B400" t="str">
        <f t="shared" si="10"/>
        <v>None of the above</v>
      </c>
      <c r="C400" t="s">
        <v>2924</v>
      </c>
      <c r="D400" s="470" t="s">
        <v>8409</v>
      </c>
      <c r="E400" s="470" t="s">
        <v>8857</v>
      </c>
      <c r="F400" s="471" t="s">
        <v>7937</v>
      </c>
      <c r="G400" t="s">
        <v>9443</v>
      </c>
      <c r="H400" s="89" t="s">
        <v>7093</v>
      </c>
      <c r="I400" s="89" t="s">
        <v>6397</v>
      </c>
      <c r="J400" s="89" t="s">
        <v>7442</v>
      </c>
      <c r="K400" s="456" t="s">
        <v>5804</v>
      </c>
    </row>
    <row r="401" spans="1:11" s="12" customFormat="1" ht="29.4" thickBot="1" x14ac:dyDescent="0.35">
      <c r="A401" s="12" t="s">
        <v>4350</v>
      </c>
      <c r="B401" s="12" t="str">
        <f t="shared" si="10"/>
        <v>Undertakings are excluded from any EU reference benchmarks that are aligned with the Paris Agreement</v>
      </c>
      <c r="C401" s="12" t="s">
        <v>3988</v>
      </c>
      <c r="D401" s="478" t="s">
        <v>8410</v>
      </c>
      <c r="E401" s="478" t="s">
        <v>8858</v>
      </c>
      <c r="F401" s="472" t="s">
        <v>7938</v>
      </c>
      <c r="G401" s="12" t="s">
        <v>9444</v>
      </c>
      <c r="H401" s="424" t="s">
        <v>7094</v>
      </c>
      <c r="I401" s="424" t="s">
        <v>6398</v>
      </c>
      <c r="J401" s="424" t="s">
        <v>7443</v>
      </c>
      <c r="K401" s="476" t="s">
        <v>6732</v>
      </c>
    </row>
    <row r="402" spans="1:11" x14ac:dyDescent="0.3">
      <c r="A402" t="s">
        <v>4351</v>
      </c>
      <c r="B402" t="str">
        <f t="shared" si="10"/>
        <v>C9 – Gender diversity ratio in the governance body</v>
      </c>
      <c r="C402" t="s">
        <v>39</v>
      </c>
      <c r="D402" s="470" t="s">
        <v>8411</v>
      </c>
      <c r="E402" s="470" t="s">
        <v>8587</v>
      </c>
      <c r="F402" s="471" t="s">
        <v>7939</v>
      </c>
      <c r="G402" t="s">
        <v>9445</v>
      </c>
      <c r="H402" s="89" t="s">
        <v>6039</v>
      </c>
      <c r="I402" s="89" t="s">
        <v>6399</v>
      </c>
      <c r="J402" s="89" t="s">
        <v>7444</v>
      </c>
      <c r="K402" s="456" t="s">
        <v>6567</v>
      </c>
    </row>
    <row r="403" spans="1:11" ht="43.2" x14ac:dyDescent="0.3">
      <c r="A403" t="s">
        <v>4352</v>
      </c>
      <c r="B403" t="str">
        <f t="shared" si="10"/>
        <v>Does the undertaking have a governance body in place?</v>
      </c>
      <c r="C403" t="s">
        <v>3091</v>
      </c>
      <c r="D403" s="470" t="s">
        <v>8412</v>
      </c>
      <c r="E403" s="470" t="s">
        <v>8859</v>
      </c>
      <c r="F403" s="471" t="s">
        <v>7940</v>
      </c>
      <c r="G403" t="s">
        <v>9446</v>
      </c>
      <c r="H403" s="89" t="s">
        <v>7095</v>
      </c>
      <c r="I403" s="89" t="s">
        <v>6400</v>
      </c>
      <c r="J403" s="89" t="s">
        <v>7445</v>
      </c>
      <c r="K403" s="456" t="s">
        <v>6733</v>
      </c>
    </row>
    <row r="404" spans="1:11" ht="28.8" x14ac:dyDescent="0.3">
      <c r="A404" t="s">
        <v>4353</v>
      </c>
      <c r="B404" t="str">
        <f t="shared" si="10"/>
        <v>Number of female board members at the end of the reporting period</v>
      </c>
      <c r="C404" t="s">
        <v>3546</v>
      </c>
      <c r="D404" s="470" t="s">
        <v>8413</v>
      </c>
      <c r="E404" s="470" t="s">
        <v>8860</v>
      </c>
      <c r="F404" s="471" t="s">
        <v>7941</v>
      </c>
      <c r="G404" t="s">
        <v>9447</v>
      </c>
      <c r="H404" s="89" t="s">
        <v>6040</v>
      </c>
      <c r="I404" s="89" t="s">
        <v>6401</v>
      </c>
      <c r="J404" s="89" t="s">
        <v>7446</v>
      </c>
      <c r="K404" s="456" t="s">
        <v>6734</v>
      </c>
    </row>
    <row r="405" spans="1:11" ht="28.8" x14ac:dyDescent="0.3">
      <c r="A405" t="s">
        <v>4354</v>
      </c>
      <c r="B405" t="str">
        <f t="shared" si="10"/>
        <v>Number of male board members at the end of the reporting period</v>
      </c>
      <c r="C405" t="s">
        <v>3547</v>
      </c>
      <c r="D405" s="470" t="s">
        <v>8414</v>
      </c>
      <c r="E405" s="470" t="s">
        <v>8861</v>
      </c>
      <c r="F405" s="471" t="s">
        <v>7942</v>
      </c>
      <c r="G405" t="s">
        <v>9448</v>
      </c>
      <c r="H405" s="89" t="s">
        <v>6041</v>
      </c>
      <c r="I405" s="89" t="s">
        <v>6402</v>
      </c>
      <c r="J405" s="89" t="s">
        <v>7447</v>
      </c>
      <c r="K405" s="456" t="s">
        <v>6735</v>
      </c>
    </row>
    <row r="406" spans="1:11" s="12" customFormat="1" ht="29.4" thickBot="1" x14ac:dyDescent="0.35">
      <c r="A406" s="12" t="s">
        <v>4355</v>
      </c>
      <c r="B406" s="12" t="str">
        <f t="shared" si="10"/>
        <v>Gender diversity ratio in governance body</v>
      </c>
      <c r="C406" s="12" t="s">
        <v>3989</v>
      </c>
      <c r="D406" s="478" t="s">
        <v>8415</v>
      </c>
      <c r="E406" s="478" t="s">
        <v>8862</v>
      </c>
      <c r="F406" s="472" t="s">
        <v>7943</v>
      </c>
      <c r="G406" s="12" t="s">
        <v>9445</v>
      </c>
      <c r="H406" s="424" t="s">
        <v>6042</v>
      </c>
      <c r="I406" s="424" t="s">
        <v>6403</v>
      </c>
      <c r="J406" s="424" t="s">
        <v>5887</v>
      </c>
      <c r="K406" s="476" t="s">
        <v>5805</v>
      </c>
    </row>
    <row r="407" spans="1:11" s="119" customFormat="1" ht="29.4" thickBot="1" x14ac:dyDescent="0.35">
      <c r="A407" s="119" t="s">
        <v>4356</v>
      </c>
      <c r="B407" s="119" t="str">
        <f t="shared" si="10"/>
        <v>Disclosure of any other governance and or entity specific governance disclosures</v>
      </c>
      <c r="C407" s="119" t="s">
        <v>4059</v>
      </c>
      <c r="D407" s="483" t="s">
        <v>8416</v>
      </c>
      <c r="E407" s="483" t="s">
        <v>8591</v>
      </c>
      <c r="F407" s="473" t="s">
        <v>7944</v>
      </c>
      <c r="G407" s="119" t="s">
        <v>9449</v>
      </c>
      <c r="H407" s="460" t="s">
        <v>7096</v>
      </c>
      <c r="I407" s="460" t="s">
        <v>6404</v>
      </c>
      <c r="J407" s="460" t="s">
        <v>7448</v>
      </c>
      <c r="K407" s="477" t="s">
        <v>6736</v>
      </c>
    </row>
    <row r="408" spans="1:11" x14ac:dyDescent="0.3">
      <c r="A408" t="s">
        <v>4540</v>
      </c>
      <c r="B408" t="str">
        <f t="shared" si="10"/>
        <v>FUEL CONVERTER</v>
      </c>
      <c r="C408" t="s">
        <v>2925</v>
      </c>
      <c r="D408" s="470" t="s">
        <v>8417</v>
      </c>
      <c r="E408" s="470" t="s">
        <v>8863</v>
      </c>
      <c r="F408" s="471" t="s">
        <v>7945</v>
      </c>
      <c r="G408" t="s">
        <v>9450</v>
      </c>
      <c r="H408" s="89" t="s">
        <v>7097</v>
      </c>
      <c r="I408" s="89" t="s">
        <v>5969</v>
      </c>
      <c r="J408" s="89" t="s">
        <v>5888</v>
      </c>
      <c r="K408" s="456" t="s">
        <v>5806</v>
      </c>
    </row>
    <row r="409" spans="1:11" x14ac:dyDescent="0.3">
      <c r="A409" t="s">
        <v>4541</v>
      </c>
      <c r="B409" t="str">
        <f t="shared" si="10"/>
        <v>DISCLAIMER:</v>
      </c>
      <c r="C409" t="s">
        <v>4531</v>
      </c>
      <c r="D409" s="470" t="s">
        <v>8418</v>
      </c>
      <c r="E409" s="470" t="s">
        <v>8864</v>
      </c>
      <c r="F409" s="471" t="s">
        <v>7946</v>
      </c>
      <c r="G409" t="s">
        <v>9451</v>
      </c>
      <c r="H409" s="89" t="s">
        <v>7098</v>
      </c>
      <c r="I409" s="89" t="s">
        <v>6405</v>
      </c>
      <c r="J409" s="89" t="s">
        <v>7449</v>
      </c>
      <c r="K409" s="456" t="s">
        <v>6737</v>
      </c>
    </row>
    <row r="410" spans="1:11" ht="115.2" x14ac:dyDescent="0.3">
      <c r="A410" t="s">
        <v>4542</v>
      </c>
      <c r="B410" t="str">
        <f t="shared" si="10"/>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410" t="s">
        <v>4532</v>
      </c>
      <c r="D410" s="470" t="s">
        <v>8419</v>
      </c>
      <c r="E410" s="470" t="s">
        <v>8865</v>
      </c>
      <c r="F410" s="471" t="s">
        <v>7947</v>
      </c>
      <c r="G410" t="s">
        <v>9452</v>
      </c>
      <c r="H410" s="89" t="s">
        <v>7099</v>
      </c>
      <c r="I410" s="89" t="s">
        <v>6406</v>
      </c>
      <c r="J410" s="89" t="s">
        <v>7450</v>
      </c>
      <c r="K410" s="456" t="s">
        <v>6513</v>
      </c>
    </row>
    <row r="411" spans="1:11" ht="129.6" x14ac:dyDescent="0.3">
      <c r="A411" t="s">
        <v>4543</v>
      </c>
      <c r="B411" t="str">
        <f t="shared" si="10"/>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411" t="s">
        <v>4533</v>
      </c>
      <c r="D411" s="470" t="s">
        <v>8420</v>
      </c>
      <c r="E411" s="470" t="s">
        <v>8866</v>
      </c>
      <c r="F411" s="471" t="s">
        <v>7948</v>
      </c>
      <c r="G411" t="s">
        <v>9453</v>
      </c>
      <c r="H411" s="89" t="s">
        <v>7100</v>
      </c>
      <c r="I411" s="89" t="s">
        <v>6407</v>
      </c>
      <c r="J411" s="89" t="s">
        <v>7451</v>
      </c>
      <c r="K411" s="456" t="s">
        <v>6738</v>
      </c>
    </row>
    <row r="412" spans="1:11" ht="129.6" x14ac:dyDescent="0.3">
      <c r="A412" t="s">
        <v>4572</v>
      </c>
      <c r="B412" t="str">
        <f t="shared" si="10"/>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412" t="s">
        <v>4534</v>
      </c>
      <c r="D412" s="470" t="s">
        <v>8421</v>
      </c>
      <c r="E412" s="470" t="s">
        <v>8867</v>
      </c>
      <c r="F412" s="471" t="s">
        <v>7949</v>
      </c>
      <c r="G412" t="s">
        <v>9454</v>
      </c>
      <c r="H412" s="89" t="s">
        <v>7101</v>
      </c>
      <c r="I412" s="89" t="s">
        <v>6408</v>
      </c>
      <c r="J412" s="89" t="s">
        <v>7452</v>
      </c>
      <c r="K412" s="456" t="s">
        <v>6514</v>
      </c>
    </row>
    <row r="413" spans="1:11" ht="57.6" x14ac:dyDescent="0.3">
      <c r="A413" t="s">
        <v>4544</v>
      </c>
      <c r="B413" t="str">
        <f t="shared" si="10"/>
        <v>Indicates that the cell should be filled either by selecting a value from the dropdown (e.g. Type of fuel or Unit of Measurement) or by entering an amount.</v>
      </c>
      <c r="C413" t="s">
        <v>3775</v>
      </c>
      <c r="D413" s="470" t="s">
        <v>8422</v>
      </c>
      <c r="E413" s="470" t="s">
        <v>8868</v>
      </c>
      <c r="F413" s="471" t="s">
        <v>7950</v>
      </c>
      <c r="G413" t="s">
        <v>9455</v>
      </c>
      <c r="H413" s="89" t="s">
        <v>7102</v>
      </c>
      <c r="I413" s="89" t="s">
        <v>6409</v>
      </c>
      <c r="J413" s="89" t="s">
        <v>7453</v>
      </c>
      <c r="K413" s="456" t="s">
        <v>6739</v>
      </c>
    </row>
    <row r="414" spans="1:11" x14ac:dyDescent="0.3">
      <c r="A414" t="s">
        <v>4545</v>
      </c>
      <c r="B414" t="str">
        <f t="shared" si="10"/>
        <v>Fuel type</v>
      </c>
      <c r="C414" t="s">
        <v>4063</v>
      </c>
      <c r="D414" s="470" t="s">
        <v>8423</v>
      </c>
      <c r="E414" s="470" t="s">
        <v>8869</v>
      </c>
      <c r="F414" s="471" t="s">
        <v>7951</v>
      </c>
      <c r="G414" t="s">
        <v>9456</v>
      </c>
      <c r="H414" s="89" t="s">
        <v>7103</v>
      </c>
      <c r="I414" s="89" t="s">
        <v>5970</v>
      </c>
      <c r="J414" s="89" t="s">
        <v>6096</v>
      </c>
      <c r="K414" s="456" t="s">
        <v>5807</v>
      </c>
    </row>
    <row r="415" spans="1:11" x14ac:dyDescent="0.3">
      <c r="A415" t="s">
        <v>4546</v>
      </c>
      <c r="B415" t="str">
        <f t="shared" si="10"/>
        <v>Amount</v>
      </c>
      <c r="C415" t="s">
        <v>3024</v>
      </c>
      <c r="D415" s="470" t="s">
        <v>8424</v>
      </c>
      <c r="E415" s="470" t="s">
        <v>8870</v>
      </c>
      <c r="F415" s="471" t="s">
        <v>7952</v>
      </c>
      <c r="G415" t="s">
        <v>9457</v>
      </c>
      <c r="H415" s="89" t="s">
        <v>7104</v>
      </c>
      <c r="I415" s="89" t="s">
        <v>6410</v>
      </c>
      <c r="J415" s="89" t="s">
        <v>5889</v>
      </c>
      <c r="K415" s="456" t="s">
        <v>6740</v>
      </c>
    </row>
    <row r="416" spans="1:11" x14ac:dyDescent="0.3">
      <c r="A416" t="s">
        <v>4547</v>
      </c>
      <c r="B416" t="str">
        <f t="shared" si="10"/>
        <v>State of matter</v>
      </c>
      <c r="C416" t="s">
        <v>3019</v>
      </c>
      <c r="D416" s="470" t="s">
        <v>8425</v>
      </c>
      <c r="E416" s="470" t="s">
        <v>8871</v>
      </c>
      <c r="F416" s="471" t="s">
        <v>7953</v>
      </c>
      <c r="G416" t="s">
        <v>9458</v>
      </c>
      <c r="H416" s="89" t="s">
        <v>7105</v>
      </c>
      <c r="I416" s="89" t="s">
        <v>5971</v>
      </c>
      <c r="J416" s="89" t="s">
        <v>5890</v>
      </c>
      <c r="K416" s="456" t="s">
        <v>6741</v>
      </c>
    </row>
    <row r="417" spans="1:11" x14ac:dyDescent="0.3">
      <c r="A417" t="s">
        <v>4548</v>
      </c>
      <c r="B417" t="str">
        <f t="shared" si="10"/>
        <v>Typical renewable state</v>
      </c>
      <c r="C417" t="s">
        <v>4064</v>
      </c>
      <c r="D417" s="470" t="s">
        <v>8426</v>
      </c>
      <c r="E417" s="470" t="s">
        <v>8872</v>
      </c>
      <c r="F417" s="471" t="s">
        <v>7954</v>
      </c>
      <c r="G417" t="s">
        <v>9459</v>
      </c>
      <c r="H417" s="89" t="s">
        <v>7106</v>
      </c>
      <c r="I417" s="89" t="s">
        <v>5972</v>
      </c>
      <c r="J417" s="89" t="s">
        <v>5891</v>
      </c>
      <c r="K417" s="456" t="s">
        <v>5808</v>
      </c>
    </row>
    <row r="418" spans="1:11" x14ac:dyDescent="0.3">
      <c r="A418" t="s">
        <v>4549</v>
      </c>
      <c r="B418" t="str">
        <f t="shared" si="10"/>
        <v>Calculated Energy in MWh</v>
      </c>
      <c r="C418" t="s">
        <v>4065</v>
      </c>
      <c r="D418" s="470" t="s">
        <v>8427</v>
      </c>
      <c r="E418" s="470" t="s">
        <v>8873</v>
      </c>
      <c r="F418" s="471" t="s">
        <v>7955</v>
      </c>
      <c r="G418" t="s">
        <v>9460</v>
      </c>
      <c r="H418" s="89" t="s">
        <v>7107</v>
      </c>
      <c r="I418" s="89" t="s">
        <v>6078</v>
      </c>
      <c r="J418" s="89" t="s">
        <v>7454</v>
      </c>
      <c r="K418" s="456" t="s">
        <v>5809</v>
      </c>
    </row>
    <row r="419" spans="1:11" x14ac:dyDescent="0.3">
      <c r="A419" t="s">
        <v>4550</v>
      </c>
      <c r="B419" t="str">
        <f t="shared" si="10"/>
        <v>Usage of Fuel Converter:</v>
      </c>
      <c r="C419" t="s">
        <v>3673</v>
      </c>
      <c r="D419" s="470" t="s">
        <v>8428</v>
      </c>
      <c r="E419" s="470" t="s">
        <v>8874</v>
      </c>
      <c r="F419" s="471" t="s">
        <v>7956</v>
      </c>
      <c r="G419" t="s">
        <v>9461</v>
      </c>
      <c r="H419" s="89" t="s">
        <v>7108</v>
      </c>
      <c r="I419" s="89" t="s">
        <v>6411</v>
      </c>
      <c r="J419" s="89" t="s">
        <v>7455</v>
      </c>
      <c r="K419" s="456" t="s">
        <v>6742</v>
      </c>
    </row>
    <row r="420" spans="1:11" ht="43.2" x14ac:dyDescent="0.3">
      <c r="A420" t="s">
        <v>4573</v>
      </c>
      <c r="B420" t="str">
        <f t="shared" si="10"/>
        <v>1. In cell A9 select the Fuel used, searching for it or scrolling down the list displayed clicking the cell</v>
      </c>
      <c r="C420" t="s">
        <v>4066</v>
      </c>
      <c r="D420" s="470" t="s">
        <v>8429</v>
      </c>
      <c r="E420" s="470" t="s">
        <v>8875</v>
      </c>
      <c r="F420" s="471" t="s">
        <v>7957</v>
      </c>
      <c r="G420" t="s">
        <v>9462</v>
      </c>
      <c r="H420" s="89" t="s">
        <v>7109</v>
      </c>
      <c r="I420" s="89" t="s">
        <v>6412</v>
      </c>
      <c r="J420" s="89" t="s">
        <v>7504</v>
      </c>
      <c r="K420" s="456" t="s">
        <v>6743</v>
      </c>
    </row>
    <row r="421" spans="1:11" x14ac:dyDescent="0.3">
      <c r="A421" t="s">
        <v>4551</v>
      </c>
      <c r="B421" t="str">
        <f t="shared" si="10"/>
        <v>2. In cell B9 select the Unit of measurement used</v>
      </c>
      <c r="C421" t="s">
        <v>4067</v>
      </c>
      <c r="D421" s="470" t="s">
        <v>8430</v>
      </c>
      <c r="E421" s="470" t="s">
        <v>8876</v>
      </c>
      <c r="F421" s="471" t="s">
        <v>7958</v>
      </c>
      <c r="G421" t="s">
        <v>9463</v>
      </c>
      <c r="H421" s="89" t="s">
        <v>6043</v>
      </c>
      <c r="I421" s="89" t="s">
        <v>6413</v>
      </c>
      <c r="J421" s="89" t="s">
        <v>7503</v>
      </c>
      <c r="K421" s="456" t="s">
        <v>6787</v>
      </c>
    </row>
    <row r="422" spans="1:11" ht="28.8" x14ac:dyDescent="0.3">
      <c r="A422" t="s">
        <v>4552</v>
      </c>
      <c r="B422" t="str">
        <f t="shared" si="10"/>
        <v>3. In cell C9 select the Amount of fuel used</v>
      </c>
      <c r="C422" t="s">
        <v>4068</v>
      </c>
      <c r="D422" s="470" t="s">
        <v>8431</v>
      </c>
      <c r="E422" s="470" t="s">
        <v>8877</v>
      </c>
      <c r="F422" s="471" t="s">
        <v>7959</v>
      </c>
      <c r="G422" t="s">
        <v>9464</v>
      </c>
      <c r="H422" s="89" t="s">
        <v>7110</v>
      </c>
      <c r="I422" s="89" t="s">
        <v>5973</v>
      </c>
      <c r="J422" s="89" t="s">
        <v>7456</v>
      </c>
      <c r="K422" s="456" t="s">
        <v>6788</v>
      </c>
    </row>
    <row r="423" spans="1:11" ht="28.8" x14ac:dyDescent="0.3">
      <c r="A423" t="s">
        <v>4553</v>
      </c>
      <c r="B423" t="str">
        <f t="shared" si="10"/>
        <v>4. In cell D9 it is displayed the State of matter for the Fuel selected</v>
      </c>
      <c r="C423" t="s">
        <v>4070</v>
      </c>
      <c r="D423" s="470" t="s">
        <v>8432</v>
      </c>
      <c r="E423" s="470" t="s">
        <v>8878</v>
      </c>
      <c r="F423" s="471" t="s">
        <v>7960</v>
      </c>
      <c r="G423" t="s">
        <v>9465</v>
      </c>
      <c r="H423" s="89" t="s">
        <v>7111</v>
      </c>
      <c r="I423" s="89" t="s">
        <v>5974</v>
      </c>
      <c r="J423" s="89" t="s">
        <v>7457</v>
      </c>
      <c r="K423" s="456" t="s">
        <v>6789</v>
      </c>
    </row>
    <row r="424" spans="1:11" ht="28.8" x14ac:dyDescent="0.3">
      <c r="A424" t="s">
        <v>4554</v>
      </c>
      <c r="B424" t="str">
        <f t="shared" si="10"/>
        <v>5. In cell E9 it is displayed the Typical renewability state for the Fuel selected</v>
      </c>
      <c r="C424" t="s">
        <v>4069</v>
      </c>
      <c r="D424" s="470" t="s">
        <v>8433</v>
      </c>
      <c r="E424" s="470" t="s">
        <v>8879</v>
      </c>
      <c r="F424" s="471" t="s">
        <v>7961</v>
      </c>
      <c r="G424" t="s">
        <v>9466</v>
      </c>
      <c r="H424" s="89" t="s">
        <v>7112</v>
      </c>
      <c r="I424" s="89" t="s">
        <v>6414</v>
      </c>
      <c r="J424" s="89" t="s">
        <v>7505</v>
      </c>
      <c r="K424" s="456" t="s">
        <v>6790</v>
      </c>
    </row>
    <row r="425" spans="1:11" ht="28.8" x14ac:dyDescent="0.3">
      <c r="A425" t="s">
        <v>4555</v>
      </c>
      <c r="B425" t="str">
        <f t="shared" si="10"/>
        <v>6. In cell F9 is displayed the Energy produced in Mega Watt hours by the Amount of Fuel specified</v>
      </c>
      <c r="C425" t="s">
        <v>4071</v>
      </c>
      <c r="D425" s="470" t="s">
        <v>8434</v>
      </c>
      <c r="E425" s="470" t="s">
        <v>8880</v>
      </c>
      <c r="F425" s="471" t="s">
        <v>7962</v>
      </c>
      <c r="G425" t="s">
        <v>9467</v>
      </c>
      <c r="H425" s="89" t="s">
        <v>7113</v>
      </c>
      <c r="I425" s="89" t="s">
        <v>6415</v>
      </c>
      <c r="J425" s="89" t="s">
        <v>7506</v>
      </c>
      <c r="K425" s="456" t="s">
        <v>6791</v>
      </c>
    </row>
    <row r="426" spans="1:11" ht="28.8" x14ac:dyDescent="0.3">
      <c r="A426" t="s">
        <v>4556</v>
      </c>
      <c r="B426" t="str">
        <f t="shared" si="10"/>
        <v>7. In cell A28 is displayed the Total Energy in Mega Watt hours</v>
      </c>
      <c r="C426" t="s">
        <v>4535</v>
      </c>
      <c r="D426" s="470" t="s">
        <v>8435</v>
      </c>
      <c r="E426" s="470" t="s">
        <v>8881</v>
      </c>
      <c r="F426" s="471" t="s">
        <v>7963</v>
      </c>
      <c r="G426" t="s">
        <v>9468</v>
      </c>
      <c r="H426" s="89" t="s">
        <v>7114</v>
      </c>
      <c r="I426" s="89" t="s">
        <v>6079</v>
      </c>
      <c r="J426" s="89" t="s">
        <v>7507</v>
      </c>
      <c r="K426" s="456" t="s">
        <v>6792</v>
      </c>
    </row>
    <row r="427" spans="1:11" ht="28.8" x14ac:dyDescent="0.3">
      <c r="A427" t="s">
        <v>4557</v>
      </c>
      <c r="B427" t="str">
        <f t="shared" si="10"/>
        <v>8. In cell A31 is displayed the Total Renewable Energy in Mega Watt hours</v>
      </c>
      <c r="C427" t="s">
        <v>4536</v>
      </c>
      <c r="D427" s="470" t="s">
        <v>8436</v>
      </c>
      <c r="E427" s="470" t="s">
        <v>8882</v>
      </c>
      <c r="F427" s="471" t="s">
        <v>7964</v>
      </c>
      <c r="G427" t="s">
        <v>9469</v>
      </c>
      <c r="H427" s="89" t="s">
        <v>7115</v>
      </c>
      <c r="I427" s="89" t="s">
        <v>6080</v>
      </c>
      <c r="J427" s="89" t="s">
        <v>7508</v>
      </c>
      <c r="K427" s="456" t="s">
        <v>6793</v>
      </c>
    </row>
    <row r="428" spans="1:11" ht="28.8" x14ac:dyDescent="0.3">
      <c r="A428" t="s">
        <v>4574</v>
      </c>
      <c r="B428" t="str">
        <f t="shared" si="10"/>
        <v>9. In cell B31 is displayed the Total Non-renewable Energy in Mega Watt hours</v>
      </c>
      <c r="C428" t="s">
        <v>4537</v>
      </c>
      <c r="D428" s="470" t="s">
        <v>8437</v>
      </c>
      <c r="E428" s="470" t="s">
        <v>8883</v>
      </c>
      <c r="F428" s="471" t="s">
        <v>7965</v>
      </c>
      <c r="G428" t="s">
        <v>9470</v>
      </c>
      <c r="H428" s="89" t="s">
        <v>7116</v>
      </c>
      <c r="I428" s="89" t="s">
        <v>5975</v>
      </c>
      <c r="J428" s="89" t="s">
        <v>7509</v>
      </c>
      <c r="K428" s="456" t="s">
        <v>6794</v>
      </c>
    </row>
    <row r="429" spans="1:11" x14ac:dyDescent="0.3">
      <c r="A429" t="s">
        <v>4558</v>
      </c>
      <c r="B429" t="str">
        <f t="shared" si="10"/>
        <v>10. Further notes can be found below</v>
      </c>
      <c r="C429" t="s">
        <v>4538</v>
      </c>
      <c r="D429" s="470" t="s">
        <v>8438</v>
      </c>
      <c r="E429" s="470" t="s">
        <v>8884</v>
      </c>
      <c r="F429" s="471" t="s">
        <v>7966</v>
      </c>
      <c r="G429" t="s">
        <v>9471</v>
      </c>
      <c r="H429" s="89" t="s">
        <v>7117</v>
      </c>
      <c r="I429" s="89" t="s">
        <v>5976</v>
      </c>
      <c r="J429" s="89" t="s">
        <v>7458</v>
      </c>
      <c r="K429" s="456" t="s">
        <v>6795</v>
      </c>
    </row>
    <row r="430" spans="1:11" ht="28.8" x14ac:dyDescent="0.3">
      <c r="A430" t="s">
        <v>4559</v>
      </c>
      <c r="B430" t="str">
        <f t="shared" si="10"/>
        <v>Transfer the total calculated results to the B3 "Fuel Energy Consumption" reporting cell</v>
      </c>
      <c r="C430" t="s">
        <v>4635</v>
      </c>
      <c r="D430" s="470" t="s">
        <v>8439</v>
      </c>
      <c r="E430" s="470" t="s">
        <v>8885</v>
      </c>
      <c r="F430" s="471" t="s">
        <v>7967</v>
      </c>
      <c r="G430" t="s">
        <v>9472</v>
      </c>
      <c r="H430" s="89" t="s">
        <v>7118</v>
      </c>
      <c r="I430" s="89" t="s">
        <v>6416</v>
      </c>
      <c r="J430" s="89" t="s">
        <v>7459</v>
      </c>
      <c r="K430" s="456" t="s">
        <v>6744</v>
      </c>
    </row>
    <row r="431" spans="1:11" x14ac:dyDescent="0.3">
      <c r="A431" t="s">
        <v>4560</v>
      </c>
      <c r="B431" t="str">
        <f t="shared" si="10"/>
        <v>Total Energy [MWh]</v>
      </c>
      <c r="C431" t="s">
        <v>3561</v>
      </c>
      <c r="D431" s="470" t="s">
        <v>8440</v>
      </c>
      <c r="E431" s="470" t="s">
        <v>8886</v>
      </c>
      <c r="F431" s="471" t="s">
        <v>7968</v>
      </c>
      <c r="G431" t="s">
        <v>9473</v>
      </c>
      <c r="H431" s="89" t="s">
        <v>6063</v>
      </c>
      <c r="I431" s="89" t="s">
        <v>6417</v>
      </c>
      <c r="J431" s="89" t="s">
        <v>5892</v>
      </c>
      <c r="K431" s="456" t="s">
        <v>6745</v>
      </c>
    </row>
    <row r="432" spans="1:11" ht="57.6" x14ac:dyDescent="0.3">
      <c r="A432" t="s">
        <v>4561</v>
      </c>
      <c r="B432" t="str">
        <f t="shared" si="10"/>
        <v>Total Renewable Energy [MWh]</v>
      </c>
      <c r="C432" t="s">
        <v>3543</v>
      </c>
      <c r="D432" s="470" t="s">
        <v>8441</v>
      </c>
      <c r="E432" s="470" t="s">
        <v>8887</v>
      </c>
      <c r="F432" s="471" t="s">
        <v>7969</v>
      </c>
      <c r="G432" t="s">
        <v>9474</v>
      </c>
      <c r="H432" s="89" t="s">
        <v>7119</v>
      </c>
      <c r="I432" s="89" t="s">
        <v>6418</v>
      </c>
      <c r="J432" s="89" t="s">
        <v>7460</v>
      </c>
      <c r="K432" s="456" t="s">
        <v>6746</v>
      </c>
    </row>
    <row r="433" spans="1:11" x14ac:dyDescent="0.3">
      <c r="A433" t="s">
        <v>4575</v>
      </c>
      <c r="B433" t="str">
        <f t="shared" si="10"/>
        <v>Total Non-renewable Energy [MWh]</v>
      </c>
      <c r="C433" t="s">
        <v>3544</v>
      </c>
      <c r="D433" s="470" t="s">
        <v>8442</v>
      </c>
      <c r="E433" s="470" t="s">
        <v>8888</v>
      </c>
      <c r="F433" s="471" t="s">
        <v>7970</v>
      </c>
      <c r="G433" t="s">
        <v>9475</v>
      </c>
      <c r="H433" s="89" t="s">
        <v>7120</v>
      </c>
      <c r="I433" s="89" t="s">
        <v>6419</v>
      </c>
      <c r="J433" s="89" t="s">
        <v>7461</v>
      </c>
      <c r="K433" s="456" t="s">
        <v>6747</v>
      </c>
    </row>
    <row r="434" spans="1:11" x14ac:dyDescent="0.3">
      <c r="A434" t="s">
        <v>4562</v>
      </c>
      <c r="B434" t="str">
        <f t="shared" si="10"/>
        <v>Further notes:</v>
      </c>
      <c r="C434" t="s">
        <v>3672</v>
      </c>
      <c r="D434" s="470" t="s">
        <v>8443</v>
      </c>
      <c r="E434" s="470" t="s">
        <v>8889</v>
      </c>
      <c r="F434" s="471" t="s">
        <v>7971</v>
      </c>
      <c r="G434" t="s">
        <v>9476</v>
      </c>
      <c r="H434" s="89" t="s">
        <v>7121</v>
      </c>
      <c r="I434" s="89" t="s">
        <v>5977</v>
      </c>
      <c r="J434" s="89" t="s">
        <v>7462</v>
      </c>
      <c r="K434" s="456" t="s">
        <v>5810</v>
      </c>
    </row>
    <row r="435" spans="1:11" s="12" customFormat="1" ht="15" customHeight="1" thickBot="1" x14ac:dyDescent="0.35">
      <c r="A435" s="12" t="s">
        <v>4563</v>
      </c>
      <c r="B435" s="12" t="str">
        <f t="shared" si="10"/>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35" s="458" t="s">
        <v>3671</v>
      </c>
      <c r="D435" s="478" t="s">
        <v>8444</v>
      </c>
      <c r="E435" s="478" t="s">
        <v>8890</v>
      </c>
      <c r="F435" s="472" t="s">
        <v>7972</v>
      </c>
      <c r="G435" s="12" t="s">
        <v>9477</v>
      </c>
      <c r="H435" s="424" t="s">
        <v>7122</v>
      </c>
      <c r="I435" s="424" t="s">
        <v>6420</v>
      </c>
      <c r="J435" s="424" t="s">
        <v>7463</v>
      </c>
      <c r="K435" s="476" t="s">
        <v>6515</v>
      </c>
    </row>
    <row r="436" spans="1:11" ht="28.8" x14ac:dyDescent="0.3">
      <c r="A436" t="s">
        <v>4564</v>
      </c>
      <c r="B436" t="str">
        <f t="shared" si="10"/>
        <v>Energy Consumption per Hour in MWh for Solid Fuels:</v>
      </c>
      <c r="C436" t="s">
        <v>4509</v>
      </c>
      <c r="D436" s="470" t="s">
        <v>8445</v>
      </c>
      <c r="E436" s="470" t="s">
        <v>8891</v>
      </c>
      <c r="F436" s="471" t="s">
        <v>7973</v>
      </c>
      <c r="G436" t="s">
        <v>9478</v>
      </c>
      <c r="H436" s="89" t="s">
        <v>7123</v>
      </c>
      <c r="I436" s="89" t="s">
        <v>6081</v>
      </c>
      <c r="J436" s="89" t="s">
        <v>7464</v>
      </c>
      <c r="K436" s="456" t="s">
        <v>6101</v>
      </c>
    </row>
    <row r="437" spans="1:11" ht="43.2" x14ac:dyDescent="0.3">
      <c r="A437" t="s">
        <v>4565</v>
      </c>
      <c r="B437" t="str">
        <f t="shared" si="10"/>
        <v>Energy [MWh] = Mass [t] * NCV [MWh/t]</v>
      </c>
      <c r="C437" t="s">
        <v>4511</v>
      </c>
      <c r="D437" s="470" t="s">
        <v>8446</v>
      </c>
      <c r="E437" s="470" t="s">
        <v>8892</v>
      </c>
      <c r="F437" s="471" t="s">
        <v>7974</v>
      </c>
      <c r="G437" t="s">
        <v>9479</v>
      </c>
      <c r="H437" s="89" t="s">
        <v>7124</v>
      </c>
      <c r="I437" s="89" t="s">
        <v>6421</v>
      </c>
      <c r="J437" s="89" t="s">
        <v>7465</v>
      </c>
      <c r="K437" s="456" t="s">
        <v>6748</v>
      </c>
    </row>
    <row r="438" spans="1:11" ht="28.8" x14ac:dyDescent="0.3">
      <c r="A438" t="s">
        <v>4566</v>
      </c>
      <c r="B438" t="str">
        <f t="shared" si="10"/>
        <v>Energy Consumption per Hour in MWh for Liquid Fuels:</v>
      </c>
      <c r="C438" t="s">
        <v>4510</v>
      </c>
      <c r="D438" s="470" t="s">
        <v>8447</v>
      </c>
      <c r="E438" s="470" t="s">
        <v>8893</v>
      </c>
      <c r="F438" s="471" t="s">
        <v>7975</v>
      </c>
      <c r="G438" t="s">
        <v>9480</v>
      </c>
      <c r="H438" s="89" t="s">
        <v>7125</v>
      </c>
      <c r="I438" s="89" t="s">
        <v>6422</v>
      </c>
      <c r="J438" s="89" t="s">
        <v>7466</v>
      </c>
      <c r="K438" s="456" t="s">
        <v>5811</v>
      </c>
    </row>
    <row r="439" spans="1:11" x14ac:dyDescent="0.3">
      <c r="A439" t="s">
        <v>4567</v>
      </c>
      <c r="B439" t="str">
        <f t="shared" si="10"/>
        <v>Mass [t] = Volume [L] * Density [t/L]</v>
      </c>
      <c r="C439" t="s">
        <v>4512</v>
      </c>
      <c r="D439" s="470" t="s">
        <v>8448</v>
      </c>
      <c r="E439" s="470" t="s">
        <v>8894</v>
      </c>
      <c r="F439" s="471" t="s">
        <v>7976</v>
      </c>
      <c r="G439" t="s">
        <v>9481</v>
      </c>
      <c r="H439" s="89" t="s">
        <v>6044</v>
      </c>
      <c r="I439" s="89" t="s">
        <v>5978</v>
      </c>
      <c r="J439" s="89" t="s">
        <v>5893</v>
      </c>
      <c r="K439" s="456" t="s">
        <v>5812</v>
      </c>
    </row>
    <row r="440" spans="1:11" x14ac:dyDescent="0.3">
      <c r="A440" t="s">
        <v>4568</v>
      </c>
      <c r="B440" t="str">
        <f t="shared" si="10"/>
        <v>Energy [MWh] = Mass [t] * [MWh/t]</v>
      </c>
      <c r="C440" t="s">
        <v>4513</v>
      </c>
      <c r="D440" s="470" t="s">
        <v>8449</v>
      </c>
      <c r="E440" s="470" t="s">
        <v>8895</v>
      </c>
      <c r="F440" s="471" t="s">
        <v>7977</v>
      </c>
      <c r="G440" t="s">
        <v>5693</v>
      </c>
      <c r="H440" s="89" t="s">
        <v>7126</v>
      </c>
      <c r="I440" s="89" t="s">
        <v>5979</v>
      </c>
      <c r="J440" s="89" t="s">
        <v>5693</v>
      </c>
      <c r="K440" s="456" t="s">
        <v>5813</v>
      </c>
    </row>
    <row r="441" spans="1:11" ht="28.8" x14ac:dyDescent="0.3">
      <c r="A441" t="s">
        <v>4569</v>
      </c>
      <c r="B441" t="str">
        <f t="shared" si="10"/>
        <v>Energy Consumption per Hour in MWh for Gaseous Fuels:</v>
      </c>
      <c r="C441" t="s">
        <v>4514</v>
      </c>
      <c r="D441" s="470" t="s">
        <v>8450</v>
      </c>
      <c r="E441" s="470" t="s">
        <v>8896</v>
      </c>
      <c r="F441" s="471" t="s">
        <v>7978</v>
      </c>
      <c r="G441" t="s">
        <v>9482</v>
      </c>
      <c r="H441" s="89" t="s">
        <v>7127</v>
      </c>
      <c r="I441" s="89" t="s">
        <v>5980</v>
      </c>
      <c r="J441" s="89" t="s">
        <v>7467</v>
      </c>
      <c r="K441" s="456" t="s">
        <v>5814</v>
      </c>
    </row>
    <row r="442" spans="1:11" x14ac:dyDescent="0.3">
      <c r="A442" t="s">
        <v>4570</v>
      </c>
      <c r="B442" t="str">
        <f t="shared" si="10"/>
        <v>Mass [t] = Volume [m³] * Density [t/m³]</v>
      </c>
      <c r="C442" t="s">
        <v>4539</v>
      </c>
      <c r="D442" s="470" t="s">
        <v>8451</v>
      </c>
      <c r="E442" s="470" t="s">
        <v>8897</v>
      </c>
      <c r="F442" s="471" t="s">
        <v>7979</v>
      </c>
      <c r="G442" t="s">
        <v>9483</v>
      </c>
      <c r="H442" s="89" t="s">
        <v>6064</v>
      </c>
      <c r="I442" s="89" t="s">
        <v>6082</v>
      </c>
      <c r="J442" s="89" t="s">
        <v>6097</v>
      </c>
      <c r="K442" s="456" t="s">
        <v>6102</v>
      </c>
    </row>
    <row r="443" spans="1:11" s="12" customFormat="1" ht="15" thickBot="1" x14ac:dyDescent="0.35">
      <c r="A443" s="12" t="s">
        <v>4571</v>
      </c>
      <c r="B443" s="12" t="str">
        <f t="shared" si="10"/>
        <v>Energy [MWh] = Mass [t] * NCV [MWh/t]</v>
      </c>
      <c r="C443" s="12" t="s">
        <v>4511</v>
      </c>
      <c r="D443" s="478" t="s">
        <v>8446</v>
      </c>
      <c r="E443" s="478" t="s">
        <v>8898</v>
      </c>
      <c r="F443" s="472" t="s">
        <v>7974</v>
      </c>
      <c r="G443" s="12" t="s">
        <v>9479</v>
      </c>
      <c r="H443" s="424" t="s">
        <v>7124</v>
      </c>
      <c r="I443" s="424" t="s">
        <v>6421</v>
      </c>
      <c r="J443" s="424" t="s">
        <v>7465</v>
      </c>
      <c r="K443" s="476" t="s">
        <v>6749</v>
      </c>
    </row>
    <row r="444" spans="1:11" x14ac:dyDescent="0.3">
      <c r="A444" t="s">
        <v>4582</v>
      </c>
      <c r="B444" t="str">
        <f t="shared" si="10"/>
        <v>UNIT OF MEASUREMENT CONVERTER</v>
      </c>
      <c r="C444" t="s">
        <v>2928</v>
      </c>
      <c r="D444" s="470" t="s">
        <v>8452</v>
      </c>
      <c r="E444" s="470" t="s">
        <v>8899</v>
      </c>
      <c r="F444" s="471" t="s">
        <v>7980</v>
      </c>
      <c r="G444" t="s">
        <v>9484</v>
      </c>
      <c r="H444" s="89" t="s">
        <v>7128</v>
      </c>
      <c r="I444" s="89" t="s">
        <v>6423</v>
      </c>
      <c r="J444" s="89" t="s">
        <v>7468</v>
      </c>
      <c r="K444" s="456" t="s">
        <v>5815</v>
      </c>
    </row>
    <row r="445" spans="1:11" x14ac:dyDescent="0.3">
      <c r="A445" t="s">
        <v>4588</v>
      </c>
      <c r="B445" t="str">
        <f t="shared" si="10"/>
        <v xml:space="preserve">From </v>
      </c>
      <c r="C445" t="s">
        <v>4576</v>
      </c>
      <c r="D445" s="470" t="s">
        <v>8453</v>
      </c>
      <c r="E445" s="470" t="s">
        <v>5694</v>
      </c>
      <c r="F445" s="471" t="s">
        <v>7981</v>
      </c>
      <c r="G445" t="s">
        <v>9485</v>
      </c>
      <c r="H445" s="89" t="s">
        <v>7129</v>
      </c>
      <c r="I445" s="89" t="s">
        <v>5690</v>
      </c>
      <c r="J445" s="89" t="s">
        <v>5694</v>
      </c>
      <c r="K445" s="456" t="s">
        <v>6750</v>
      </c>
    </row>
    <row r="446" spans="1:11" x14ac:dyDescent="0.3">
      <c r="A446" t="s">
        <v>4583</v>
      </c>
      <c r="B446" t="str">
        <f t="shared" si="10"/>
        <v>Unit of measurement of Mass Converter</v>
      </c>
      <c r="C446" t="s">
        <v>2929</v>
      </c>
      <c r="D446" s="470" t="s">
        <v>8454</v>
      </c>
      <c r="E446" s="470" t="s">
        <v>8900</v>
      </c>
      <c r="F446" s="471" t="s">
        <v>7982</v>
      </c>
      <c r="G446" t="s">
        <v>9486</v>
      </c>
      <c r="H446" s="89" t="s">
        <v>7130</v>
      </c>
      <c r="I446" s="89" t="s">
        <v>6424</v>
      </c>
      <c r="J446" s="89" t="s">
        <v>7469</v>
      </c>
      <c r="K446" s="456" t="s">
        <v>6751</v>
      </c>
    </row>
    <row r="447" spans="1:11" x14ac:dyDescent="0.3">
      <c r="A447" t="s">
        <v>4584</v>
      </c>
      <c r="B447" t="str">
        <f t="shared" si="10"/>
        <v>Unit of measurement of Volume Converter</v>
      </c>
      <c r="C447" t="s">
        <v>2931</v>
      </c>
      <c r="D447" s="470" t="s">
        <v>8455</v>
      </c>
      <c r="E447" s="470" t="s">
        <v>8901</v>
      </c>
      <c r="F447" s="471" t="s">
        <v>7983</v>
      </c>
      <c r="G447" t="s">
        <v>9487</v>
      </c>
      <c r="H447" s="89" t="s">
        <v>7131</v>
      </c>
      <c r="I447" s="89" t="s">
        <v>6425</v>
      </c>
      <c r="J447" s="89" t="s">
        <v>7470</v>
      </c>
      <c r="K447" s="456" t="s">
        <v>6752</v>
      </c>
    </row>
    <row r="448" spans="1:11" x14ac:dyDescent="0.3">
      <c r="A448" t="s">
        <v>4585</v>
      </c>
      <c r="B448" t="str">
        <f t="shared" si="10"/>
        <v>Unit of measurement of Energy Consumption per Hour</v>
      </c>
      <c r="C448" t="s">
        <v>2932</v>
      </c>
      <c r="D448" s="470" t="s">
        <v>8456</v>
      </c>
      <c r="E448" s="470" t="s">
        <v>8902</v>
      </c>
      <c r="F448" s="471" t="s">
        <v>7984</v>
      </c>
      <c r="G448" t="s">
        <v>9488</v>
      </c>
      <c r="H448" s="89" t="s">
        <v>6045</v>
      </c>
      <c r="I448" s="89" t="s">
        <v>5981</v>
      </c>
      <c r="J448" s="89" t="s">
        <v>7471</v>
      </c>
      <c r="K448" s="456" t="s">
        <v>6753</v>
      </c>
    </row>
    <row r="449" spans="1:11" ht="28.8" x14ac:dyDescent="0.3">
      <c r="A449" t="s">
        <v>4590</v>
      </c>
      <c r="B449" t="str">
        <f t="shared" si="10"/>
        <v>Unit of measurement of NCV Converter</v>
      </c>
      <c r="C449" t="s">
        <v>2934</v>
      </c>
      <c r="D449" s="470" t="s">
        <v>8457</v>
      </c>
      <c r="E449" s="470" t="s">
        <v>8903</v>
      </c>
      <c r="F449" s="471" t="s">
        <v>7985</v>
      </c>
      <c r="G449" t="s">
        <v>9489</v>
      </c>
      <c r="H449" s="89" t="s">
        <v>7132</v>
      </c>
      <c r="I449" s="89" t="s">
        <v>6426</v>
      </c>
      <c r="J449" s="89" t="s">
        <v>5894</v>
      </c>
      <c r="K449" s="456" t="s">
        <v>5816</v>
      </c>
    </row>
    <row r="450" spans="1:11" ht="43.2" x14ac:dyDescent="0.3">
      <c r="A450" t="s">
        <v>4596</v>
      </c>
      <c r="B450" t="str">
        <f t="shared" si="10"/>
        <v>Unit of measurement of Density Converter</v>
      </c>
      <c r="C450" t="s">
        <v>2933</v>
      </c>
      <c r="D450" s="470" t="s">
        <v>8458</v>
      </c>
      <c r="E450" s="470" t="s">
        <v>8904</v>
      </c>
      <c r="F450" s="471" t="s">
        <v>7986</v>
      </c>
      <c r="G450" t="s">
        <v>9490</v>
      </c>
      <c r="H450" s="89" t="s">
        <v>7133</v>
      </c>
      <c r="I450" s="89" t="s">
        <v>6427</v>
      </c>
      <c r="J450" s="89" t="s">
        <v>7472</v>
      </c>
      <c r="K450" s="456" t="s">
        <v>6754</v>
      </c>
    </row>
    <row r="451" spans="1:11" x14ac:dyDescent="0.3">
      <c r="A451" t="s">
        <v>4586</v>
      </c>
      <c r="B451" t="str">
        <f t="shared" si="10"/>
        <v>Usage of Unit of Measurement Converter</v>
      </c>
      <c r="C451" t="s">
        <v>4515</v>
      </c>
      <c r="D451" s="470" t="s">
        <v>8459</v>
      </c>
      <c r="E451" s="470" t="s">
        <v>8905</v>
      </c>
      <c r="F451" s="471" t="s">
        <v>7987</v>
      </c>
      <c r="G451" t="s">
        <v>9491</v>
      </c>
      <c r="H451" s="89" t="s">
        <v>7134</v>
      </c>
      <c r="I451" s="89" t="s">
        <v>6428</v>
      </c>
      <c r="J451" s="89" t="s">
        <v>7473</v>
      </c>
      <c r="K451" s="456" t="s">
        <v>6755</v>
      </c>
    </row>
    <row r="452" spans="1:11" x14ac:dyDescent="0.3">
      <c r="A452" t="s">
        <v>4587</v>
      </c>
      <c r="B452" t="str">
        <f t="shared" ref="B452:B490" si="11">INDEX(C452:K452,MATCH(template_selected_display_language,$C$3:$K$3,0))</f>
        <v>Steps to follow for the Mass table:</v>
      </c>
      <c r="C452" t="s">
        <v>4516</v>
      </c>
      <c r="D452" s="470" t="s">
        <v>8460</v>
      </c>
      <c r="E452" s="470" t="s">
        <v>8906</v>
      </c>
      <c r="F452" s="471" t="s">
        <v>7988</v>
      </c>
      <c r="G452" t="s">
        <v>9492</v>
      </c>
      <c r="H452" s="89" t="s">
        <v>7135</v>
      </c>
      <c r="I452" s="89" t="s">
        <v>6429</v>
      </c>
      <c r="J452" s="89" t="s">
        <v>7474</v>
      </c>
      <c r="K452" s="456" t="s">
        <v>6756</v>
      </c>
    </row>
    <row r="453" spans="1:11" ht="57.6" x14ac:dyDescent="0.3">
      <c r="A453" t="s">
        <v>4595</v>
      </c>
      <c r="B453" t="str">
        <f t="shared" si="11"/>
        <v>1. In the cell B5 of the table related to the Unit of measurement of Mass Converter should be inserted the Unit of measurement to convert.</v>
      </c>
      <c r="C453" t="s">
        <v>4530</v>
      </c>
      <c r="D453" s="470" t="s">
        <v>8461</v>
      </c>
      <c r="E453" s="470" t="s">
        <v>8907</v>
      </c>
      <c r="F453" s="471" t="s">
        <v>7989</v>
      </c>
      <c r="G453" t="s">
        <v>9493</v>
      </c>
      <c r="H453" s="89" t="s">
        <v>7136</v>
      </c>
      <c r="I453" s="89" t="s">
        <v>6430</v>
      </c>
      <c r="J453" s="89" t="s">
        <v>7502</v>
      </c>
      <c r="K453" s="456" t="s">
        <v>6757</v>
      </c>
    </row>
    <row r="454" spans="1:11" ht="28.8" x14ac:dyDescent="0.3">
      <c r="A454" t="s">
        <v>4591</v>
      </c>
      <c r="B454" t="str">
        <f t="shared" si="11"/>
        <v>2. Then in the cell B6 the amount of mass can be inserted.</v>
      </c>
      <c r="C454" t="s">
        <v>4528</v>
      </c>
      <c r="D454" s="470" t="s">
        <v>8462</v>
      </c>
      <c r="E454" s="470" t="s">
        <v>8908</v>
      </c>
      <c r="F454" s="471" t="s">
        <v>7990</v>
      </c>
      <c r="G454" t="s">
        <v>9494</v>
      </c>
      <c r="H454" s="89" t="s">
        <v>7137</v>
      </c>
      <c r="I454" s="89" t="s">
        <v>5982</v>
      </c>
      <c r="J454" s="89" t="s">
        <v>7501</v>
      </c>
      <c r="K454" s="456" t="s">
        <v>6758</v>
      </c>
    </row>
    <row r="455" spans="1:11" ht="28.8" x14ac:dyDescent="0.3">
      <c r="A455" t="s">
        <v>4592</v>
      </c>
      <c r="B455" t="str">
        <f t="shared" si="11"/>
        <v>3. Finally in the cell D5 there should be the unit of measurement of interest.</v>
      </c>
      <c r="C455" t="s">
        <v>4529</v>
      </c>
      <c r="D455" s="470" t="s">
        <v>8463</v>
      </c>
      <c r="E455" s="470" t="s">
        <v>8909</v>
      </c>
      <c r="F455" s="471" t="s">
        <v>7991</v>
      </c>
      <c r="G455" t="s">
        <v>9495</v>
      </c>
      <c r="H455" s="89" t="s">
        <v>7138</v>
      </c>
      <c r="I455" s="89" t="s">
        <v>6431</v>
      </c>
      <c r="J455" s="89" t="s">
        <v>7500</v>
      </c>
      <c r="K455" s="456" t="s">
        <v>6759</v>
      </c>
    </row>
    <row r="456" spans="1:11" x14ac:dyDescent="0.3">
      <c r="A456" t="s">
        <v>4593</v>
      </c>
      <c r="B456" t="str">
        <f t="shared" si="11"/>
        <v>4. The outcome of the conversion will be displayed in the cell D6.</v>
      </c>
      <c r="C456" t="s">
        <v>4527</v>
      </c>
      <c r="D456" s="470" t="s">
        <v>8464</v>
      </c>
      <c r="E456" s="470" t="s">
        <v>8910</v>
      </c>
      <c r="F456" s="471" t="s">
        <v>7992</v>
      </c>
      <c r="G456" t="s">
        <v>9496</v>
      </c>
      <c r="H456" s="89" t="s">
        <v>7139</v>
      </c>
      <c r="I456" s="89" t="s">
        <v>5983</v>
      </c>
      <c r="J456" s="89" t="s">
        <v>5895</v>
      </c>
      <c r="K456" s="456" t="s">
        <v>6760</v>
      </c>
    </row>
    <row r="457" spans="1:11" ht="43.2" x14ac:dyDescent="0.3">
      <c r="A457" t="s">
        <v>4594</v>
      </c>
      <c r="B457" t="str">
        <f t="shared" si="11"/>
        <v>The steps to follow for the other tables (Volume, Energy Consumption, Density and NCV) are the same of the Mass table.</v>
      </c>
      <c r="C457" t="s">
        <v>4517</v>
      </c>
      <c r="D457" s="470" t="s">
        <v>8465</v>
      </c>
      <c r="E457" s="470" t="s">
        <v>8911</v>
      </c>
      <c r="F457" s="471" t="s">
        <v>7993</v>
      </c>
      <c r="G457" t="s">
        <v>9497</v>
      </c>
      <c r="H457" s="89" t="s">
        <v>7140</v>
      </c>
      <c r="I457" s="89" t="s">
        <v>6432</v>
      </c>
      <c r="J457" s="89" t="s">
        <v>7475</v>
      </c>
      <c r="K457" s="456" t="s">
        <v>6761</v>
      </c>
    </row>
    <row r="458" spans="1:11" ht="28.8" x14ac:dyDescent="0.3">
      <c r="A458" t="s">
        <v>4589</v>
      </c>
      <c r="B458" t="str">
        <f t="shared" si="11"/>
        <v>Below are specified all the Units of measurement conversions of each table.</v>
      </c>
      <c r="C458" t="s">
        <v>4518</v>
      </c>
      <c r="D458" s="470" t="s">
        <v>8466</v>
      </c>
      <c r="E458" s="470" t="s">
        <v>8912</v>
      </c>
      <c r="F458" s="471" t="s">
        <v>7994</v>
      </c>
      <c r="G458" t="s">
        <v>9498</v>
      </c>
      <c r="H458" s="89" t="s">
        <v>7141</v>
      </c>
      <c r="I458" s="89" t="s">
        <v>6433</v>
      </c>
      <c r="J458" s="89" t="s">
        <v>7476</v>
      </c>
      <c r="K458" s="456" t="s">
        <v>5817</v>
      </c>
    </row>
    <row r="459" spans="1:11" x14ac:dyDescent="0.3">
      <c r="A459" t="s">
        <v>4601</v>
      </c>
      <c r="B459" t="str">
        <f t="shared" si="11"/>
        <v>▪ Unit of measurement of Mass Converter:</v>
      </c>
      <c r="C459" t="s">
        <v>4577</v>
      </c>
      <c r="D459" s="470" t="s">
        <v>8467</v>
      </c>
      <c r="E459" s="470" t="s">
        <v>8913</v>
      </c>
      <c r="F459" s="471" t="s">
        <v>8974</v>
      </c>
      <c r="G459" t="s">
        <v>9499</v>
      </c>
      <c r="H459" s="89" t="s">
        <v>8997</v>
      </c>
      <c r="I459" s="89" t="s">
        <v>6434</v>
      </c>
      <c r="J459" s="89" t="s">
        <v>5896</v>
      </c>
      <c r="K459" s="456" t="s">
        <v>6762</v>
      </c>
    </row>
    <row r="460" spans="1:11" x14ac:dyDescent="0.3">
      <c r="A460" t="s">
        <v>4600</v>
      </c>
      <c r="B460" t="str">
        <f t="shared" si="11"/>
        <v>▪ Unit of measurement of Volume Converter:</v>
      </c>
      <c r="C460" t="s">
        <v>4578</v>
      </c>
      <c r="D460" s="470" t="s">
        <v>8468</v>
      </c>
      <c r="E460" s="470" t="s">
        <v>8914</v>
      </c>
      <c r="F460" s="471" t="s">
        <v>8975</v>
      </c>
      <c r="G460" t="s">
        <v>9500</v>
      </c>
      <c r="H460" s="89" t="s">
        <v>8998</v>
      </c>
      <c r="I460" s="89" t="s">
        <v>6435</v>
      </c>
      <c r="J460" s="89" t="s">
        <v>7499</v>
      </c>
      <c r="K460" s="456" t="s">
        <v>6763</v>
      </c>
    </row>
    <row r="461" spans="1:11" x14ac:dyDescent="0.3">
      <c r="A461" t="s">
        <v>4599</v>
      </c>
      <c r="B461" t="str">
        <f t="shared" si="11"/>
        <v>▪ Unit of measurement of Energy Converter:</v>
      </c>
      <c r="C461" t="s">
        <v>4579</v>
      </c>
      <c r="D461" s="470" t="s">
        <v>8469</v>
      </c>
      <c r="E461" s="470" t="s">
        <v>8915</v>
      </c>
      <c r="F461" s="471" t="s">
        <v>8976</v>
      </c>
      <c r="G461" t="s">
        <v>9501</v>
      </c>
      <c r="H461" s="89" t="s">
        <v>8999</v>
      </c>
      <c r="I461" s="89" t="s">
        <v>6436</v>
      </c>
      <c r="J461" s="89" t="s">
        <v>7498</v>
      </c>
      <c r="K461" s="456" t="s">
        <v>6764</v>
      </c>
    </row>
    <row r="462" spans="1:11" x14ac:dyDescent="0.3">
      <c r="A462" t="s">
        <v>4598</v>
      </c>
      <c r="B462" t="str">
        <f t="shared" si="11"/>
        <v>▪ Unit of measurement of Density Converter:</v>
      </c>
      <c r="C462" t="s">
        <v>4580</v>
      </c>
      <c r="D462" s="470" t="s">
        <v>8470</v>
      </c>
      <c r="E462" s="470" t="s">
        <v>8916</v>
      </c>
      <c r="F462" s="471" t="s">
        <v>8977</v>
      </c>
      <c r="G462" t="s">
        <v>9502</v>
      </c>
      <c r="H462" s="89" t="s">
        <v>9000</v>
      </c>
      <c r="I462" s="89" t="s">
        <v>6437</v>
      </c>
      <c r="J462" s="89" t="s">
        <v>7477</v>
      </c>
      <c r="K462" s="456" t="s">
        <v>6765</v>
      </c>
    </row>
    <row r="463" spans="1:11" s="12" customFormat="1" ht="15" thickBot="1" x14ac:dyDescent="0.35">
      <c r="A463" s="12" t="s">
        <v>4597</v>
      </c>
      <c r="B463" s="12" t="str">
        <f t="shared" si="11"/>
        <v>▪ Unit of measurement of NCV Converter:</v>
      </c>
      <c r="C463" s="12" t="s">
        <v>4581</v>
      </c>
      <c r="D463" s="478" t="s">
        <v>8471</v>
      </c>
      <c r="E463" s="478" t="s">
        <v>8917</v>
      </c>
      <c r="F463" s="472" t="s">
        <v>8978</v>
      </c>
      <c r="G463" s="12" t="s">
        <v>9503</v>
      </c>
      <c r="H463" s="424" t="s">
        <v>9001</v>
      </c>
      <c r="I463" s="424" t="s">
        <v>6438</v>
      </c>
      <c r="J463" s="424" t="s">
        <v>7478</v>
      </c>
      <c r="K463" s="476" t="s">
        <v>6766</v>
      </c>
    </row>
    <row r="464" spans="1:11" x14ac:dyDescent="0.3">
      <c r="A464" t="s">
        <v>4604</v>
      </c>
      <c r="B464" t="str">
        <f t="shared" si="11"/>
        <v>INCOMPLETE</v>
      </c>
      <c r="C464" t="s">
        <v>4602</v>
      </c>
      <c r="D464" s="470" t="s">
        <v>8472</v>
      </c>
      <c r="E464" s="470" t="s">
        <v>8918</v>
      </c>
      <c r="F464" s="471" t="s">
        <v>7995</v>
      </c>
      <c r="G464" t="s">
        <v>5697</v>
      </c>
      <c r="H464" s="89" t="s">
        <v>7142</v>
      </c>
      <c r="I464" s="89" t="s">
        <v>6439</v>
      </c>
      <c r="J464" s="89" t="s">
        <v>5697</v>
      </c>
      <c r="K464" s="456" t="s">
        <v>5697</v>
      </c>
    </row>
    <row r="465" spans="1:11" ht="28.8" x14ac:dyDescent="0.3">
      <c r="A465" t="s">
        <v>4605</v>
      </c>
      <c r="B465" t="str">
        <f t="shared" si="11"/>
        <v>COMPLETE</v>
      </c>
      <c r="C465" t="s">
        <v>4603</v>
      </c>
      <c r="D465" s="470" t="s">
        <v>8473</v>
      </c>
      <c r="E465" s="470" t="s">
        <v>8919</v>
      </c>
      <c r="F465" s="471" t="s">
        <v>7996</v>
      </c>
      <c r="G465" t="s">
        <v>5698</v>
      </c>
      <c r="H465" s="89" t="s">
        <v>7143</v>
      </c>
      <c r="I465" s="89" t="s">
        <v>6440</v>
      </c>
      <c r="J465" s="89" t="s">
        <v>5698</v>
      </c>
      <c r="K465" s="456" t="s">
        <v>5698</v>
      </c>
    </row>
    <row r="466" spans="1:11" x14ac:dyDescent="0.3">
      <c r="A466" t="s">
        <v>4617</v>
      </c>
      <c r="B466" t="str">
        <f t="shared" si="11"/>
        <v>MISSING VALUE</v>
      </c>
      <c r="C466" t="s">
        <v>4606</v>
      </c>
      <c r="D466" s="470" t="s">
        <v>8474</v>
      </c>
      <c r="E466" s="470" t="s">
        <v>8920</v>
      </c>
      <c r="F466" s="471" t="s">
        <v>7997</v>
      </c>
      <c r="G466" t="s">
        <v>9504</v>
      </c>
      <c r="H466" s="89" t="s">
        <v>7144</v>
      </c>
      <c r="I466" s="89" t="s">
        <v>6441</v>
      </c>
      <c r="J466" s="89" t="s">
        <v>7479</v>
      </c>
      <c r="K466" s="456" t="s">
        <v>6494</v>
      </c>
    </row>
    <row r="467" spans="1:11" x14ac:dyDescent="0.3">
      <c r="A467" t="s">
        <v>4618</v>
      </c>
      <c r="B467" t="str">
        <f t="shared" si="11"/>
        <v>ERROR</v>
      </c>
      <c r="C467" t="s">
        <v>4607</v>
      </c>
      <c r="D467" s="470" t="s">
        <v>8475</v>
      </c>
      <c r="E467" s="470" t="s">
        <v>8921</v>
      </c>
      <c r="F467" s="471" t="s">
        <v>7998</v>
      </c>
      <c r="G467" t="s">
        <v>9505</v>
      </c>
      <c r="H467" s="89" t="s">
        <v>6046</v>
      </c>
      <c r="I467" s="89" t="s">
        <v>5984</v>
      </c>
      <c r="J467" s="89" t="s">
        <v>5897</v>
      </c>
      <c r="K467" s="456" t="s">
        <v>4607</v>
      </c>
    </row>
    <row r="468" spans="1:11" x14ac:dyDescent="0.3">
      <c r="A468" t="s">
        <v>4619</v>
      </c>
      <c r="B468" t="str">
        <f t="shared" si="11"/>
        <v>VALUE INCONSISTENCY</v>
      </c>
      <c r="C468" t="s">
        <v>4608</v>
      </c>
      <c r="D468" s="470" t="s">
        <v>8476</v>
      </c>
      <c r="E468" s="470" t="s">
        <v>8922</v>
      </c>
      <c r="F468" s="471" t="s">
        <v>7999</v>
      </c>
      <c r="G468" t="s">
        <v>9506</v>
      </c>
      <c r="H468" s="89" t="s">
        <v>7145</v>
      </c>
      <c r="I468" s="89" t="s">
        <v>5985</v>
      </c>
      <c r="J468" s="89" t="s">
        <v>7480</v>
      </c>
      <c r="K468" s="456" t="s">
        <v>5818</v>
      </c>
    </row>
    <row r="469" spans="1:11" x14ac:dyDescent="0.3">
      <c r="A469" t="s">
        <v>4621</v>
      </c>
      <c r="B469" t="str">
        <f t="shared" si="11"/>
        <v>ERROR + VALUE INCONSISTENCY</v>
      </c>
      <c r="C469" t="s">
        <v>4609</v>
      </c>
      <c r="D469" s="470" t="s">
        <v>8477</v>
      </c>
      <c r="E469" s="470" t="s">
        <v>8923</v>
      </c>
      <c r="F469" s="471" t="s">
        <v>8000</v>
      </c>
      <c r="G469" t="s">
        <v>9507</v>
      </c>
      <c r="H469" s="89" t="s">
        <v>7146</v>
      </c>
      <c r="I469" s="89" t="s">
        <v>5986</v>
      </c>
      <c r="J469" s="89" t="s">
        <v>5898</v>
      </c>
      <c r="K469" s="456" t="s">
        <v>6495</v>
      </c>
    </row>
    <row r="470" spans="1:11" ht="28.8" x14ac:dyDescent="0.3">
      <c r="A470" t="s">
        <v>4622</v>
      </c>
      <c r="B470" t="str">
        <f t="shared" si="11"/>
        <v>ERROR + MISSING VALUE + VALUE INCONSISTENCY</v>
      </c>
      <c r="C470" t="s">
        <v>4610</v>
      </c>
      <c r="D470" s="470" t="s">
        <v>8478</v>
      </c>
      <c r="E470" s="470" t="s">
        <v>8924</v>
      </c>
      <c r="F470" s="471" t="s">
        <v>8001</v>
      </c>
      <c r="G470" t="s">
        <v>9508</v>
      </c>
      <c r="H470" s="89" t="s">
        <v>7147</v>
      </c>
      <c r="I470" s="89" t="s">
        <v>6442</v>
      </c>
      <c r="J470" s="89" t="s">
        <v>7481</v>
      </c>
      <c r="K470" s="456" t="s">
        <v>6496</v>
      </c>
    </row>
    <row r="471" spans="1:11" x14ac:dyDescent="0.3">
      <c r="A471" t="s">
        <v>4623</v>
      </c>
      <c r="B471" t="str">
        <f t="shared" si="11"/>
        <v>ERROR + MISSING VALUE</v>
      </c>
      <c r="C471" t="s">
        <v>4611</v>
      </c>
      <c r="D471" s="470" t="s">
        <v>8479</v>
      </c>
      <c r="E471" s="470" t="s">
        <v>8925</v>
      </c>
      <c r="F471" s="471" t="s">
        <v>8002</v>
      </c>
      <c r="G471" t="s">
        <v>9509</v>
      </c>
      <c r="H471" s="89" t="s">
        <v>7148</v>
      </c>
      <c r="I471" s="89" t="s">
        <v>6443</v>
      </c>
      <c r="J471" s="89" t="s">
        <v>7482</v>
      </c>
      <c r="K471" s="456" t="s">
        <v>6497</v>
      </c>
    </row>
    <row r="472" spans="1:11" x14ac:dyDescent="0.3">
      <c r="A472" t="s">
        <v>4624</v>
      </c>
      <c r="B472" t="str">
        <f t="shared" si="11"/>
        <v>MISSING VALUE + VALUE INCONSISTENCY</v>
      </c>
      <c r="C472" t="s">
        <v>4612</v>
      </c>
      <c r="D472" s="470" t="s">
        <v>8480</v>
      </c>
      <c r="E472" s="470" t="s">
        <v>8926</v>
      </c>
      <c r="F472" s="471" t="s">
        <v>8003</v>
      </c>
      <c r="G472" t="s">
        <v>9510</v>
      </c>
      <c r="H472" s="89" t="s">
        <v>7149</v>
      </c>
      <c r="I472" s="89" t="s">
        <v>6444</v>
      </c>
      <c r="J472" s="89" t="s">
        <v>7483</v>
      </c>
      <c r="K472" s="456" t="s">
        <v>6498</v>
      </c>
    </row>
    <row r="473" spans="1:11" x14ac:dyDescent="0.3">
      <c r="A473" t="s">
        <v>4620</v>
      </c>
      <c r="B473" t="str">
        <f t="shared" si="11"/>
        <v>INVALID URL</v>
      </c>
      <c r="C473" t="s">
        <v>4613</v>
      </c>
      <c r="D473" s="470" t="s">
        <v>8481</v>
      </c>
      <c r="E473" s="470" t="s">
        <v>8927</v>
      </c>
      <c r="F473" s="471" t="s">
        <v>8004</v>
      </c>
      <c r="G473" t="s">
        <v>9511</v>
      </c>
      <c r="H473" s="89" t="s">
        <v>7150</v>
      </c>
      <c r="I473" s="89" t="s">
        <v>6445</v>
      </c>
      <c r="J473" s="89" t="s">
        <v>5899</v>
      </c>
      <c r="K473" s="456" t="s">
        <v>6767</v>
      </c>
    </row>
    <row r="474" spans="1:11" x14ac:dyDescent="0.3">
      <c r="A474" t="s">
        <v>5633</v>
      </c>
      <c r="B474" t="str">
        <f t="shared" si="11"/>
        <v>OK</v>
      </c>
      <c r="C474" t="s">
        <v>5632</v>
      </c>
      <c r="D474" s="470" t="s">
        <v>5632</v>
      </c>
      <c r="E474" s="470" t="s">
        <v>5632</v>
      </c>
      <c r="F474" s="471" t="s">
        <v>5632</v>
      </c>
      <c r="G474" t="s">
        <v>5632</v>
      </c>
      <c r="H474" s="89" t="s">
        <v>7151</v>
      </c>
      <c r="I474" s="89" t="s">
        <v>5632</v>
      </c>
      <c r="J474" s="89" t="s">
        <v>5632</v>
      </c>
      <c r="K474" s="456" t="s">
        <v>6786</v>
      </c>
    </row>
    <row r="475" spans="1:11" ht="28.8" x14ac:dyDescent="0.3">
      <c r="A475" t="s">
        <v>5636</v>
      </c>
      <c r="B475" t="str">
        <f t="shared" si="11"/>
        <v>ℹ️ Liquid fuel: please select one unit of measurement among m³ and L</v>
      </c>
      <c r="C475" t="s">
        <v>6111</v>
      </c>
      <c r="D475" s="470" t="s">
        <v>8482</v>
      </c>
      <c r="E475" s="470" t="s">
        <v>8928</v>
      </c>
      <c r="F475" s="471" t="s">
        <v>8005</v>
      </c>
      <c r="G475" t="s">
        <v>9512</v>
      </c>
      <c r="H475" s="89" t="s">
        <v>7152</v>
      </c>
      <c r="I475" s="89" t="s">
        <v>6446</v>
      </c>
      <c r="J475" s="89" t="s">
        <v>6128</v>
      </c>
      <c r="K475" s="456" t="s">
        <v>6768</v>
      </c>
    </row>
    <row r="476" spans="1:11" ht="28.8" x14ac:dyDescent="0.3">
      <c r="A476" t="s">
        <v>5634</v>
      </c>
      <c r="B476" t="str">
        <f t="shared" si="11"/>
        <v>ℹ️ Solid fuel: please select one unit of measurement among Gg, t, Kg and g</v>
      </c>
      <c r="C476" t="s">
        <v>6112</v>
      </c>
      <c r="D476" s="470" t="s">
        <v>8483</v>
      </c>
      <c r="E476" s="470" t="s">
        <v>8929</v>
      </c>
      <c r="F476" s="471" t="s">
        <v>8006</v>
      </c>
      <c r="G476" t="s">
        <v>9513</v>
      </c>
      <c r="H476" s="89" t="s">
        <v>7153</v>
      </c>
      <c r="I476" s="89" t="s">
        <v>6126</v>
      </c>
      <c r="J476" s="89" t="s">
        <v>7497</v>
      </c>
      <c r="K476" s="456" t="s">
        <v>6129</v>
      </c>
    </row>
    <row r="477" spans="1:11" ht="28.8" x14ac:dyDescent="0.3">
      <c r="A477" t="s">
        <v>5635</v>
      </c>
      <c r="B477" t="str">
        <f t="shared" si="11"/>
        <v>ℹ️ Gaseous fuel: please select one unit of measurement among m³ and L</v>
      </c>
      <c r="C477" t="s">
        <v>6113</v>
      </c>
      <c r="D477" s="470" t="s">
        <v>8484</v>
      </c>
      <c r="E477" s="470" t="s">
        <v>8930</v>
      </c>
      <c r="F477" s="471" t="s">
        <v>8007</v>
      </c>
      <c r="G477" t="s">
        <v>9514</v>
      </c>
      <c r="H477" s="89" t="s">
        <v>7154</v>
      </c>
      <c r="I477" s="89" t="s">
        <v>6127</v>
      </c>
      <c r="J477" s="89" t="s">
        <v>7484</v>
      </c>
      <c r="K477" s="456" t="s">
        <v>6130</v>
      </c>
    </row>
    <row r="478" spans="1:11" ht="100.8" x14ac:dyDescent="0.3">
      <c r="A478" t="s">
        <v>5670</v>
      </c>
      <c r="B478" t="str">
        <f t="shared" si="11"/>
        <v xml:space="preserve">ℹ️  The entity identifier is a unique ID, that will enable identifying the company that has reported the information. The VSME Standard does not require any specific identifier. An entity identifier is required for the digital reporting. </v>
      </c>
      <c r="C478" t="s">
        <v>6114</v>
      </c>
      <c r="D478" s="470" t="s">
        <v>8485</v>
      </c>
      <c r="E478" s="470" t="s">
        <v>8931</v>
      </c>
      <c r="F478" s="471" t="s">
        <v>8008</v>
      </c>
      <c r="G478" t="s">
        <v>9515</v>
      </c>
      <c r="H478" s="89" t="s">
        <v>7155</v>
      </c>
      <c r="I478" s="89" t="s">
        <v>6447</v>
      </c>
      <c r="J478" s="89" t="s">
        <v>7485</v>
      </c>
      <c r="K478" s="456" t="s">
        <v>6769</v>
      </c>
    </row>
    <row r="479" spans="1:11" ht="72" x14ac:dyDescent="0.3">
      <c r="A479" t="s">
        <v>5671</v>
      </c>
      <c r="B479" t="str">
        <f t="shared" si="11"/>
        <v>ℹ️ If VALUE INCONSISTENCY message appears on the right, please ensure that the reporting period end date is greater than the reporting period start date.</v>
      </c>
      <c r="C479" t="s">
        <v>6115</v>
      </c>
      <c r="D479" s="470" t="s">
        <v>8486</v>
      </c>
      <c r="E479" s="470" t="s">
        <v>8932</v>
      </c>
      <c r="F479" s="471" t="s">
        <v>8009</v>
      </c>
      <c r="G479" t="s">
        <v>9516</v>
      </c>
      <c r="H479" s="89" t="s">
        <v>7156</v>
      </c>
      <c r="I479" s="89" t="s">
        <v>6448</v>
      </c>
      <c r="J479" s="89" t="s">
        <v>7486</v>
      </c>
      <c r="K479" s="456" t="s">
        <v>6770</v>
      </c>
    </row>
    <row r="480" spans="1:11" ht="72" x14ac:dyDescent="0.3">
      <c r="A480" t="s">
        <v>5672</v>
      </c>
      <c r="B480" t="str">
        <f t="shared" si="11"/>
        <v>ℹ️  Lists can be expanded using the little [+] button on the left.  If the number of rows is not sufficient, those can be added by right clicking the second row and selecting "Insert row".</v>
      </c>
      <c r="C480" t="s">
        <v>6116</v>
      </c>
      <c r="D480" s="470" t="s">
        <v>8487</v>
      </c>
      <c r="E480" s="470" t="s">
        <v>8933</v>
      </c>
      <c r="F480" s="471" t="s">
        <v>8010</v>
      </c>
      <c r="G480" t="s">
        <v>9517</v>
      </c>
      <c r="H480" s="89" t="s">
        <v>7157</v>
      </c>
      <c r="I480" s="89" t="s">
        <v>6449</v>
      </c>
      <c r="J480" s="89" t="s">
        <v>7487</v>
      </c>
      <c r="K480" s="456" t="s">
        <v>6771</v>
      </c>
    </row>
    <row r="481" spans="1:11" ht="28.8" x14ac:dyDescent="0.3">
      <c r="A481" t="s">
        <v>5673</v>
      </c>
      <c r="B481" t="str">
        <f t="shared" si="11"/>
        <v>ℹ️ When "other" is chosen as undertaking legal form please fill the row below</v>
      </c>
      <c r="C481" t="s">
        <v>6117</v>
      </c>
      <c r="D481" s="470" t="s">
        <v>8488</v>
      </c>
      <c r="E481" s="470" t="s">
        <v>8934</v>
      </c>
      <c r="F481" s="471" t="s">
        <v>8011</v>
      </c>
      <c r="G481" t="s">
        <v>9518</v>
      </c>
      <c r="H481" s="89" t="s">
        <v>7158</v>
      </c>
      <c r="I481" s="89" t="s">
        <v>6450</v>
      </c>
      <c r="J481" s="89" t="s">
        <v>7488</v>
      </c>
      <c r="K481" s="456" t="s">
        <v>6772</v>
      </c>
    </row>
    <row r="482" spans="1:11" ht="57.6" x14ac:dyDescent="0.3">
      <c r="A482" t="s">
        <v>5674</v>
      </c>
      <c r="B482" t="str">
        <f t="shared" si="11"/>
        <v>ℹ️  Please select a NACE code rather than a category else an ERROR message will appear.</v>
      </c>
      <c r="C482" t="s">
        <v>6118</v>
      </c>
      <c r="D482" s="470" t="s">
        <v>8489</v>
      </c>
      <c r="E482" s="470" t="s">
        <v>8935</v>
      </c>
      <c r="F482" s="471" t="s">
        <v>8012</v>
      </c>
      <c r="G482" t="s">
        <v>9519</v>
      </c>
      <c r="H482" s="89" t="s">
        <v>7159</v>
      </c>
      <c r="I482" s="89" t="s">
        <v>6451</v>
      </c>
      <c r="J482" s="89" t="s">
        <v>7489</v>
      </c>
      <c r="K482" s="456" t="s">
        <v>6784</v>
      </c>
    </row>
    <row r="483" spans="1:11" ht="43.2" x14ac:dyDescent="0.3">
      <c r="A483" t="s">
        <v>5675</v>
      </c>
      <c r="B483" t="str">
        <f t="shared" si="11"/>
        <v>ℹ️  Please be careful to separate each street number and house number using the slash symbol "/" and not the comma ","</v>
      </c>
      <c r="C483" t="s">
        <v>6119</v>
      </c>
      <c r="D483" s="470" t="s">
        <v>8490</v>
      </c>
      <c r="E483" s="470" t="s">
        <v>8936</v>
      </c>
      <c r="F483" s="471" t="s">
        <v>8013</v>
      </c>
      <c r="G483" t="s">
        <v>9520</v>
      </c>
      <c r="H483" s="89" t="s">
        <v>7160</v>
      </c>
      <c r="I483" s="89" t="s">
        <v>6452</v>
      </c>
      <c r="J483" s="89" t="s">
        <v>7490</v>
      </c>
      <c r="K483" s="456" t="s">
        <v>6773</v>
      </c>
    </row>
    <row r="484" spans="1:11" ht="43.2" x14ac:dyDescent="0.3">
      <c r="A484" t="s">
        <v>5676</v>
      </c>
      <c r="B484" t="str">
        <f t="shared" si="11"/>
        <v xml:space="preserve">ℹ️  Please note that the formula present in this cell may be overwritten in case the undertaking wants to directly provide the value. </v>
      </c>
      <c r="C484" t="s">
        <v>6120</v>
      </c>
      <c r="D484" s="470" t="s">
        <v>8491</v>
      </c>
      <c r="E484" s="470" t="s">
        <v>8937</v>
      </c>
      <c r="F484" s="471" t="s">
        <v>8014</v>
      </c>
      <c r="G484" t="s">
        <v>9521</v>
      </c>
      <c r="H484" s="89" t="s">
        <v>7161</v>
      </c>
      <c r="I484" s="89" t="s">
        <v>6453</v>
      </c>
      <c r="J484" s="89" t="s">
        <v>7491</v>
      </c>
      <c r="K484" s="456" t="s">
        <v>6774</v>
      </c>
    </row>
    <row r="485" spans="1:11" ht="100.8" x14ac:dyDescent="0.3">
      <c r="A485" t="s">
        <v>5677</v>
      </c>
      <c r="B485" t="str">
        <f t="shared" si="11"/>
        <v>ℹ️  Scope 3 categories according to the GHG protocol might help to calculate the total Scope 3 GHG emissions. In case the undertaking wants to, it can directly provide the Total Scope 3 GHG emissions in the respective cell.</v>
      </c>
      <c r="C485" t="s">
        <v>6121</v>
      </c>
      <c r="D485" s="470" t="s">
        <v>8492</v>
      </c>
      <c r="E485" s="470" t="s">
        <v>8938</v>
      </c>
      <c r="F485" s="471" t="s">
        <v>8015</v>
      </c>
      <c r="G485" t="s">
        <v>9522</v>
      </c>
      <c r="H485" s="89" t="s">
        <v>7162</v>
      </c>
      <c r="I485" s="89" t="s">
        <v>6454</v>
      </c>
      <c r="J485" s="89" t="s">
        <v>7492</v>
      </c>
      <c r="K485" s="456" t="s">
        <v>6775</v>
      </c>
    </row>
    <row r="486" spans="1:11" ht="57.6" x14ac:dyDescent="0.3">
      <c r="A486" t="s">
        <v>5678</v>
      </c>
      <c r="B486" t="str">
        <f t="shared" si="11"/>
        <v>ℹ️  If a validation related to value inconsistency is displayed, please select a site ID that is different from one of those previously selected.</v>
      </c>
      <c r="C486" t="s">
        <v>6122</v>
      </c>
      <c r="D486" s="470" t="s">
        <v>8493</v>
      </c>
      <c r="E486" s="470" t="s">
        <v>8939</v>
      </c>
      <c r="F486" s="471" t="s">
        <v>8016</v>
      </c>
      <c r="G486" t="s">
        <v>9523</v>
      </c>
      <c r="H486" s="89" t="s">
        <v>7163</v>
      </c>
      <c r="I486" s="89" t="s">
        <v>6455</v>
      </c>
      <c r="J486" s="89" t="s">
        <v>7493</v>
      </c>
      <c r="K486" s="456" t="s">
        <v>6776</v>
      </c>
    </row>
    <row r="487" spans="1:11" ht="57.6" x14ac:dyDescent="0.3">
      <c r="A487" t="s">
        <v>5679</v>
      </c>
      <c r="B487" t="str">
        <f t="shared" si="11"/>
        <v>ℹ️  Please select a Type of waste (Hazardous or Non-Hazardous) rather than a category else an ERROR message will appear.</v>
      </c>
      <c r="C487" t="s">
        <v>6123</v>
      </c>
      <c r="D487" s="470" t="s">
        <v>8494</v>
      </c>
      <c r="E487" s="470" t="s">
        <v>8940</v>
      </c>
      <c r="F487" s="471" t="s">
        <v>8017</v>
      </c>
      <c r="G487" t="s">
        <v>9524</v>
      </c>
      <c r="H487" s="89" t="s">
        <v>7164</v>
      </c>
      <c r="I487" s="89" t="s">
        <v>6456</v>
      </c>
      <c r="J487" s="89" t="s">
        <v>7494</v>
      </c>
      <c r="K487" s="456" t="s">
        <v>6785</v>
      </c>
    </row>
    <row r="488" spans="1:11" ht="72" x14ac:dyDescent="0.3">
      <c r="A488" t="s">
        <v>5680</v>
      </c>
      <c r="B488" t="str">
        <f t="shared" si="11"/>
        <v xml:space="preserve">ℹ️  Please make sure that the total number of employees is the same as the one provided in the "General Information" sheet cell E55
</v>
      </c>
      <c r="C488" t="s">
        <v>6124</v>
      </c>
      <c r="D488" s="470" t="s">
        <v>8495</v>
      </c>
      <c r="E488" s="470" t="s">
        <v>8941</v>
      </c>
      <c r="F488" s="471" t="s">
        <v>8018</v>
      </c>
      <c r="G488" t="s">
        <v>9525</v>
      </c>
      <c r="H488" s="456" t="s">
        <v>7165</v>
      </c>
      <c r="I488" s="456" t="s">
        <v>6457</v>
      </c>
      <c r="J488" s="456" t="s">
        <v>7495</v>
      </c>
      <c r="K488" s="456" t="s">
        <v>6777</v>
      </c>
    </row>
    <row r="489" spans="1:11" ht="100.8" x14ac:dyDescent="0.3">
      <c r="A489" t="s">
        <v>5681</v>
      </c>
      <c r="B489" t="str">
        <f t="shared" si="11"/>
        <v>ℹ️  The undertaking can modify the value in this cell as 2,000 hours is based on the assumption that one full-time worker works 2,000 hours per year. This figure may vary by country or sector, depending on national rules or collective bargaining agreements.</v>
      </c>
      <c r="C489" t="s">
        <v>6125</v>
      </c>
      <c r="D489" s="470" t="s">
        <v>8496</v>
      </c>
      <c r="E489" s="470" t="s">
        <v>8942</v>
      </c>
      <c r="F489" s="471" t="s">
        <v>8019</v>
      </c>
      <c r="G489" t="s">
        <v>9526</v>
      </c>
      <c r="H489" s="89" t="s">
        <v>7166</v>
      </c>
      <c r="I489" s="89" t="s">
        <v>6458</v>
      </c>
      <c r="J489" s="89" t="s">
        <v>7496</v>
      </c>
      <c r="K489" s="456" t="s">
        <v>6778</v>
      </c>
    </row>
    <row r="490" spans="1:11" ht="28.8" x14ac:dyDescent="0.3">
      <c r="A490" t="s">
        <v>7537</v>
      </c>
      <c r="B490" t="str">
        <f t="shared" si="11"/>
        <v>ℹ️ Check EFRAG website for a non-exhaustive list of GHG calculators.</v>
      </c>
      <c r="C490" t="s">
        <v>7538</v>
      </c>
      <c r="D490" s="470" t="s">
        <v>8498</v>
      </c>
      <c r="E490" s="2" t="s">
        <v>8943</v>
      </c>
      <c r="F490" s="2" t="s">
        <v>8020</v>
      </c>
      <c r="G490" t="s">
        <v>9527</v>
      </c>
      <c r="H490" t="s">
        <v>7539</v>
      </c>
      <c r="I490" t="s">
        <v>7540</v>
      </c>
      <c r="J490" t="s">
        <v>7541</v>
      </c>
      <c r="K490" s="2" t="s">
        <v>7542</v>
      </c>
    </row>
    <row r="491" spans="1:11" x14ac:dyDescent="0.3">
      <c r="D491" s="470"/>
    </row>
    <row r="492" spans="1:11" x14ac:dyDescent="0.3">
      <c r="D492" s="470"/>
    </row>
    <row r="493" spans="1:11" x14ac:dyDescent="0.3">
      <c r="D493" s="470"/>
    </row>
    <row r="494" spans="1:11" x14ac:dyDescent="0.3">
      <c r="D494" s="470"/>
    </row>
    <row r="495" spans="1:11" x14ac:dyDescent="0.3">
      <c r="D495" s="470"/>
    </row>
    <row r="496" spans="1:11" x14ac:dyDescent="0.3">
      <c r="D496" s="470"/>
    </row>
    <row r="497" spans="4:4" x14ac:dyDescent="0.3">
      <c r="D497" s="470"/>
    </row>
    <row r="498" spans="4:4" x14ac:dyDescent="0.3">
      <c r="D498" s="470"/>
    </row>
    <row r="499" spans="4:4" x14ac:dyDescent="0.3">
      <c r="D499" s="470"/>
    </row>
    <row r="500" spans="4:4" x14ac:dyDescent="0.3">
      <c r="D500" s="470"/>
    </row>
    <row r="501" spans="4:4" x14ac:dyDescent="0.3">
      <c r="D501" s="470"/>
    </row>
    <row r="502" spans="4:4" x14ac:dyDescent="0.3">
      <c r="D502" s="470"/>
    </row>
    <row r="503" spans="4:4" x14ac:dyDescent="0.3">
      <c r="D503" s="470"/>
    </row>
    <row r="504" spans="4:4" x14ac:dyDescent="0.3">
      <c r="D504" s="470"/>
    </row>
    <row r="505" spans="4:4" x14ac:dyDescent="0.3">
      <c r="D505" s="470"/>
    </row>
    <row r="506" spans="4:4" x14ac:dyDescent="0.3">
      <c r="D506" s="470"/>
    </row>
    <row r="507" spans="4:4" x14ac:dyDescent="0.3">
      <c r="D507" s="470"/>
    </row>
    <row r="508" spans="4:4" x14ac:dyDescent="0.3">
      <c r="D508" s="470"/>
    </row>
    <row r="509" spans="4:4" x14ac:dyDescent="0.3">
      <c r="D509" s="470"/>
    </row>
    <row r="510" spans="4:4" x14ac:dyDescent="0.3">
      <c r="D510" s="470"/>
    </row>
    <row r="511" spans="4:4" x14ac:dyDescent="0.3">
      <c r="D511" s="470"/>
    </row>
    <row r="512" spans="4:4" x14ac:dyDescent="0.3">
      <c r="D512" s="470"/>
    </row>
    <row r="513" spans="4:4" x14ac:dyDescent="0.3">
      <c r="D513" s="470"/>
    </row>
    <row r="514" spans="4:4" x14ac:dyDescent="0.3">
      <c r="D514" s="470"/>
    </row>
    <row r="515" spans="4:4" x14ac:dyDescent="0.3">
      <c r="D515" s="470"/>
    </row>
    <row r="516" spans="4:4" x14ac:dyDescent="0.3">
      <c r="D516" s="470"/>
    </row>
    <row r="517" spans="4:4" x14ac:dyDescent="0.3">
      <c r="D517" s="470"/>
    </row>
    <row r="518" spans="4:4" x14ac:dyDescent="0.3">
      <c r="D518" s="470"/>
    </row>
    <row r="519" spans="4:4" x14ac:dyDescent="0.3">
      <c r="D519" s="470"/>
    </row>
    <row r="520" spans="4:4" x14ac:dyDescent="0.3">
      <c r="D520" s="470"/>
    </row>
    <row r="521" spans="4:4" x14ac:dyDescent="0.3">
      <c r="D521" s="470"/>
    </row>
    <row r="522" spans="4:4" x14ac:dyDescent="0.3">
      <c r="D522" s="470"/>
    </row>
    <row r="523" spans="4:4" x14ac:dyDescent="0.3">
      <c r="D523" s="470"/>
    </row>
    <row r="524" spans="4:4" x14ac:dyDescent="0.3">
      <c r="D524" s="470"/>
    </row>
    <row r="525" spans="4:4" x14ac:dyDescent="0.3">
      <c r="D525" s="470"/>
    </row>
    <row r="526" spans="4:4" x14ac:dyDescent="0.3">
      <c r="D526" s="470"/>
    </row>
    <row r="527" spans="4:4" x14ac:dyDescent="0.3">
      <c r="D527" s="470"/>
    </row>
    <row r="528" spans="4:4" x14ac:dyDescent="0.3">
      <c r="D528" s="470"/>
    </row>
    <row r="529" spans="4:4" x14ac:dyDescent="0.3">
      <c r="D529" s="470"/>
    </row>
    <row r="530" spans="4:4" x14ac:dyDescent="0.3">
      <c r="D530" s="470"/>
    </row>
    <row r="531" spans="4:4" x14ac:dyDescent="0.3">
      <c r="D531" s="470"/>
    </row>
    <row r="532" spans="4:4" x14ac:dyDescent="0.3">
      <c r="D532" s="470"/>
    </row>
    <row r="533" spans="4:4" x14ac:dyDescent="0.3">
      <c r="D533" s="470"/>
    </row>
    <row r="534" spans="4:4" x14ac:dyDescent="0.3">
      <c r="D534" s="470"/>
    </row>
    <row r="535" spans="4:4" x14ac:dyDescent="0.3">
      <c r="D535" s="470"/>
    </row>
    <row r="536" spans="4:4" x14ac:dyDescent="0.3">
      <c r="D536" s="470"/>
    </row>
    <row r="537" spans="4:4" x14ac:dyDescent="0.3">
      <c r="D537" s="470"/>
    </row>
    <row r="538" spans="4:4" x14ac:dyDescent="0.3">
      <c r="D538" s="470"/>
    </row>
    <row r="539" spans="4:4" x14ac:dyDescent="0.3">
      <c r="D539" s="470"/>
    </row>
    <row r="540" spans="4:4" x14ac:dyDescent="0.3">
      <c r="D540" s="470"/>
    </row>
    <row r="541" spans="4:4" x14ac:dyDescent="0.3">
      <c r="D541" s="470"/>
    </row>
    <row r="542" spans="4:4" x14ac:dyDescent="0.3">
      <c r="D542" s="470"/>
    </row>
    <row r="543" spans="4:4" x14ac:dyDescent="0.3">
      <c r="D543" s="470"/>
    </row>
    <row r="544" spans="4:4" x14ac:dyDescent="0.3">
      <c r="D544" s="470"/>
    </row>
    <row r="545" spans="4:4" x14ac:dyDescent="0.3">
      <c r="D545" s="470"/>
    </row>
    <row r="546" spans="4:4" x14ac:dyDescent="0.3">
      <c r="D546" s="470"/>
    </row>
    <row r="547" spans="4:4" x14ac:dyDescent="0.3">
      <c r="D547" s="470"/>
    </row>
    <row r="548" spans="4:4" x14ac:dyDescent="0.3">
      <c r="D548" s="470"/>
    </row>
    <row r="549" spans="4:4" x14ac:dyDescent="0.3">
      <c r="D549" s="470"/>
    </row>
    <row r="550" spans="4:4" x14ac:dyDescent="0.3">
      <c r="D550" s="470"/>
    </row>
    <row r="551" spans="4:4" x14ac:dyDescent="0.3">
      <c r="D551" s="470"/>
    </row>
    <row r="552" spans="4:4" x14ac:dyDescent="0.3">
      <c r="D552" s="470"/>
    </row>
    <row r="553" spans="4:4" x14ac:dyDescent="0.3">
      <c r="D553" s="470"/>
    </row>
    <row r="554" spans="4:4" x14ac:dyDescent="0.3">
      <c r="D554" s="470"/>
    </row>
    <row r="555" spans="4:4" x14ac:dyDescent="0.3">
      <c r="D555" s="470"/>
    </row>
    <row r="556" spans="4:4" x14ac:dyDescent="0.3">
      <c r="D556" s="470"/>
    </row>
    <row r="557" spans="4:4" x14ac:dyDescent="0.3">
      <c r="D557" s="470"/>
    </row>
    <row r="558" spans="4:4" x14ac:dyDescent="0.3">
      <c r="D558" s="470"/>
    </row>
    <row r="559" spans="4:4" x14ac:dyDescent="0.3">
      <c r="D559" s="470"/>
    </row>
    <row r="560" spans="4:4" x14ac:dyDescent="0.3">
      <c r="D560" s="470"/>
    </row>
    <row r="561" spans="4:4" x14ac:dyDescent="0.3">
      <c r="D561" s="470"/>
    </row>
    <row r="562" spans="4:4" x14ac:dyDescent="0.3">
      <c r="D562" s="470"/>
    </row>
    <row r="563" spans="4:4" x14ac:dyDescent="0.3">
      <c r="D563" s="470"/>
    </row>
    <row r="564" spans="4:4" x14ac:dyDescent="0.3">
      <c r="D564" s="470"/>
    </row>
    <row r="565" spans="4:4" x14ac:dyDescent="0.3">
      <c r="D565" s="470"/>
    </row>
    <row r="566" spans="4:4" x14ac:dyDescent="0.3">
      <c r="D566" s="470"/>
    </row>
    <row r="567" spans="4:4" x14ac:dyDescent="0.3">
      <c r="D567" s="470"/>
    </row>
    <row r="568" spans="4:4" x14ac:dyDescent="0.3">
      <c r="D568" s="470"/>
    </row>
    <row r="569" spans="4:4" x14ac:dyDescent="0.3">
      <c r="D569" s="470"/>
    </row>
    <row r="570" spans="4:4" x14ac:dyDescent="0.3">
      <c r="D570" s="470"/>
    </row>
    <row r="571" spans="4:4" x14ac:dyDescent="0.3">
      <c r="D571" s="470"/>
    </row>
    <row r="572" spans="4:4" x14ac:dyDescent="0.3">
      <c r="D572" s="470"/>
    </row>
    <row r="573" spans="4:4" x14ac:dyDescent="0.3">
      <c r="D573" s="470"/>
    </row>
    <row r="574" spans="4:4" x14ac:dyDescent="0.3">
      <c r="D574" s="470"/>
    </row>
    <row r="575" spans="4:4" x14ac:dyDescent="0.3">
      <c r="D575" s="470"/>
    </row>
    <row r="576" spans="4:4" x14ac:dyDescent="0.3">
      <c r="D576" s="470"/>
    </row>
    <row r="577" spans="4:4" x14ac:dyDescent="0.3">
      <c r="D577" s="470"/>
    </row>
    <row r="578" spans="4:4" x14ac:dyDescent="0.3">
      <c r="D578" s="470"/>
    </row>
    <row r="579" spans="4:4" x14ac:dyDescent="0.3">
      <c r="D579" s="470"/>
    </row>
    <row r="580" spans="4:4" x14ac:dyDescent="0.3">
      <c r="D580" s="470"/>
    </row>
    <row r="581" spans="4:4" x14ac:dyDescent="0.3">
      <c r="D581" s="470"/>
    </row>
    <row r="582" spans="4:4" x14ac:dyDescent="0.3">
      <c r="D582" s="470"/>
    </row>
    <row r="583" spans="4:4" x14ac:dyDescent="0.3">
      <c r="D583" s="470"/>
    </row>
    <row r="584" spans="4:4" x14ac:dyDescent="0.3">
      <c r="D584" s="470"/>
    </row>
    <row r="585" spans="4:4" x14ac:dyDescent="0.3">
      <c r="D585" s="470"/>
    </row>
    <row r="586" spans="4:4" x14ac:dyDescent="0.3">
      <c r="D586" s="470"/>
    </row>
    <row r="587" spans="4:4" x14ac:dyDescent="0.3">
      <c r="D587" s="470"/>
    </row>
    <row r="588" spans="4:4" x14ac:dyDescent="0.3">
      <c r="D588" s="470"/>
    </row>
    <row r="589" spans="4:4" x14ac:dyDescent="0.3">
      <c r="D589" s="470"/>
    </row>
    <row r="590" spans="4:4" x14ac:dyDescent="0.3">
      <c r="D590" s="470"/>
    </row>
    <row r="591" spans="4:4" x14ac:dyDescent="0.3">
      <c r="D591" s="470"/>
    </row>
    <row r="592" spans="4:4" x14ac:dyDescent="0.3">
      <c r="D592" s="470"/>
    </row>
    <row r="593" spans="4:4" x14ac:dyDescent="0.3">
      <c r="D593" s="470"/>
    </row>
    <row r="594" spans="4:4" x14ac:dyDescent="0.3">
      <c r="D594" s="470"/>
    </row>
    <row r="595" spans="4:4" x14ac:dyDescent="0.3">
      <c r="D595" s="470"/>
    </row>
    <row r="596" spans="4:4" x14ac:dyDescent="0.3">
      <c r="D596" s="470"/>
    </row>
    <row r="597" spans="4:4" x14ac:dyDescent="0.3">
      <c r="D597" s="470"/>
    </row>
    <row r="598" spans="4:4" x14ac:dyDescent="0.3">
      <c r="D598" s="470"/>
    </row>
    <row r="599" spans="4:4" x14ac:dyDescent="0.3">
      <c r="D599" s="470"/>
    </row>
    <row r="600" spans="4:4" x14ac:dyDescent="0.3">
      <c r="D600" s="470"/>
    </row>
    <row r="601" spans="4:4" x14ac:dyDescent="0.3">
      <c r="D601" s="470"/>
    </row>
    <row r="602" spans="4:4" x14ac:dyDescent="0.3">
      <c r="D602" s="470"/>
    </row>
    <row r="603" spans="4:4" x14ac:dyDescent="0.3">
      <c r="D603" s="470"/>
    </row>
    <row r="604" spans="4:4" x14ac:dyDescent="0.3">
      <c r="D604" s="470"/>
    </row>
    <row r="605" spans="4:4" x14ac:dyDescent="0.3">
      <c r="D605" s="470"/>
    </row>
    <row r="606" spans="4:4" x14ac:dyDescent="0.3">
      <c r="D606" s="470"/>
    </row>
    <row r="607" spans="4:4" x14ac:dyDescent="0.3">
      <c r="D607" s="470"/>
    </row>
    <row r="608" spans="4:4" x14ac:dyDescent="0.3">
      <c r="D608" s="470"/>
    </row>
    <row r="609" spans="4:4" x14ac:dyDescent="0.3">
      <c r="D609" s="470"/>
    </row>
    <row r="610" spans="4:4" x14ac:dyDescent="0.3">
      <c r="D610" s="470"/>
    </row>
    <row r="611" spans="4:4" x14ac:dyDescent="0.3">
      <c r="D611" s="470"/>
    </row>
    <row r="612" spans="4:4" x14ac:dyDescent="0.3">
      <c r="D612" s="470"/>
    </row>
    <row r="613" spans="4:4" x14ac:dyDescent="0.3">
      <c r="D613" s="470"/>
    </row>
    <row r="614" spans="4:4" x14ac:dyDescent="0.3">
      <c r="D614" s="470"/>
    </row>
    <row r="615" spans="4:4" x14ac:dyDescent="0.3">
      <c r="D615" s="470"/>
    </row>
    <row r="616" spans="4:4" x14ac:dyDescent="0.3">
      <c r="D616" s="470"/>
    </row>
    <row r="617" spans="4:4" x14ac:dyDescent="0.3">
      <c r="D617" s="470"/>
    </row>
    <row r="618" spans="4:4" x14ac:dyDescent="0.3">
      <c r="D618" s="470"/>
    </row>
    <row r="619" spans="4:4" x14ac:dyDescent="0.3">
      <c r="D619" s="470"/>
    </row>
    <row r="620" spans="4:4" x14ac:dyDescent="0.3">
      <c r="D620" s="470"/>
    </row>
    <row r="621" spans="4:4" x14ac:dyDescent="0.3">
      <c r="D621" s="470"/>
    </row>
    <row r="622" spans="4:4" x14ac:dyDescent="0.3">
      <c r="D622" s="470"/>
    </row>
    <row r="623" spans="4:4" x14ac:dyDescent="0.3">
      <c r="D623" s="470"/>
    </row>
    <row r="624" spans="4:4" x14ac:dyDescent="0.3">
      <c r="D624" s="470"/>
    </row>
    <row r="625" spans="4:4" x14ac:dyDescent="0.3">
      <c r="D625" s="470"/>
    </row>
    <row r="626" spans="4:4" x14ac:dyDescent="0.3">
      <c r="D626" s="470"/>
    </row>
    <row r="627" spans="4:4" x14ac:dyDescent="0.3">
      <c r="D627" s="470"/>
    </row>
    <row r="628" spans="4:4" x14ac:dyDescent="0.3">
      <c r="D628" s="470"/>
    </row>
    <row r="629" spans="4:4" x14ac:dyDescent="0.3">
      <c r="D629" s="470"/>
    </row>
    <row r="630" spans="4:4" x14ac:dyDescent="0.3">
      <c r="D630" s="470"/>
    </row>
    <row r="631" spans="4:4" x14ac:dyDescent="0.3">
      <c r="D631" s="470"/>
    </row>
    <row r="632" spans="4:4" x14ac:dyDescent="0.3">
      <c r="D632" s="470"/>
    </row>
    <row r="633" spans="4:4" x14ac:dyDescent="0.3">
      <c r="D633" s="470"/>
    </row>
    <row r="634" spans="4:4" x14ac:dyDescent="0.3">
      <c r="D634" s="470"/>
    </row>
    <row r="635" spans="4:4" x14ac:dyDescent="0.3">
      <c r="D635" s="470"/>
    </row>
    <row r="636" spans="4:4" x14ac:dyDescent="0.3">
      <c r="D636" s="470"/>
    </row>
    <row r="637" spans="4:4" x14ac:dyDescent="0.3">
      <c r="D637" s="470"/>
    </row>
    <row r="638" spans="4:4" x14ac:dyDescent="0.3">
      <c r="D638" s="470"/>
    </row>
    <row r="639" spans="4:4" x14ac:dyDescent="0.3">
      <c r="D639" s="470"/>
    </row>
    <row r="640" spans="4:4" x14ac:dyDescent="0.3">
      <c r="D640" s="470"/>
    </row>
    <row r="641" spans="4:4" x14ac:dyDescent="0.3">
      <c r="D641" s="470"/>
    </row>
    <row r="642" spans="4:4" x14ac:dyDescent="0.3">
      <c r="D642" s="470"/>
    </row>
    <row r="643" spans="4:4" x14ac:dyDescent="0.3">
      <c r="D643" s="470"/>
    </row>
    <row r="644" spans="4:4" x14ac:dyDescent="0.3">
      <c r="D644" s="470"/>
    </row>
    <row r="645" spans="4:4" x14ac:dyDescent="0.3">
      <c r="D645" s="470"/>
    </row>
    <row r="646" spans="4:4" x14ac:dyDescent="0.3">
      <c r="D646" s="470"/>
    </row>
    <row r="647" spans="4:4" x14ac:dyDescent="0.3">
      <c r="D647" s="470"/>
    </row>
    <row r="648" spans="4:4" x14ac:dyDescent="0.3">
      <c r="D648" s="470"/>
    </row>
    <row r="649" spans="4:4" x14ac:dyDescent="0.3">
      <c r="D649" s="470"/>
    </row>
    <row r="650" spans="4:4" x14ac:dyDescent="0.3">
      <c r="D650" s="470"/>
    </row>
    <row r="651" spans="4:4" x14ac:dyDescent="0.3">
      <c r="D651" s="470"/>
    </row>
    <row r="652" spans="4:4" x14ac:dyDescent="0.3">
      <c r="D652" s="470"/>
    </row>
    <row r="653" spans="4:4" x14ac:dyDescent="0.3">
      <c r="D653" s="470"/>
    </row>
    <row r="654" spans="4:4" x14ac:dyDescent="0.3">
      <c r="D654" s="470"/>
    </row>
    <row r="655" spans="4:4" x14ac:dyDescent="0.3">
      <c r="D655" s="470"/>
    </row>
    <row r="656" spans="4:4" x14ac:dyDescent="0.3">
      <c r="D656" s="470"/>
    </row>
    <row r="657" spans="4:4" x14ac:dyDescent="0.3">
      <c r="D657" s="470"/>
    </row>
    <row r="658" spans="4:4" x14ac:dyDescent="0.3">
      <c r="D658" s="470"/>
    </row>
    <row r="659" spans="4:4" x14ac:dyDescent="0.3">
      <c r="D659" s="470"/>
    </row>
    <row r="660" spans="4:4" x14ac:dyDescent="0.3">
      <c r="D660" s="470"/>
    </row>
    <row r="661" spans="4:4" x14ac:dyDescent="0.3">
      <c r="D661" s="470"/>
    </row>
    <row r="662" spans="4:4" x14ac:dyDescent="0.3">
      <c r="D662" s="470"/>
    </row>
    <row r="663" spans="4:4" x14ac:dyDescent="0.3">
      <c r="D663" s="470"/>
    </row>
    <row r="664" spans="4:4" x14ac:dyDescent="0.3">
      <c r="D664" s="470"/>
    </row>
    <row r="665" spans="4:4" x14ac:dyDescent="0.3">
      <c r="D665" s="470"/>
    </row>
    <row r="666" spans="4:4" x14ac:dyDescent="0.3">
      <c r="D666" s="470"/>
    </row>
    <row r="667" spans="4:4" x14ac:dyDescent="0.3">
      <c r="D667" s="470"/>
    </row>
    <row r="668" spans="4:4" x14ac:dyDescent="0.3">
      <c r="D668" s="470"/>
    </row>
    <row r="669" spans="4:4" x14ac:dyDescent="0.3">
      <c r="D669" s="470"/>
    </row>
    <row r="670" spans="4:4" x14ac:dyDescent="0.3">
      <c r="D670" s="470"/>
    </row>
    <row r="671" spans="4:4" x14ac:dyDescent="0.3">
      <c r="D671" s="470"/>
    </row>
    <row r="672" spans="4:4" x14ac:dyDescent="0.3">
      <c r="D672" s="470"/>
    </row>
    <row r="673" spans="4:4" x14ac:dyDescent="0.3">
      <c r="D673" s="470"/>
    </row>
    <row r="674" spans="4:4" x14ac:dyDescent="0.3">
      <c r="D674" s="470"/>
    </row>
    <row r="675" spans="4:4" x14ac:dyDescent="0.3">
      <c r="D675" s="470"/>
    </row>
    <row r="676" spans="4:4" x14ac:dyDescent="0.3">
      <c r="D676" s="470"/>
    </row>
    <row r="677" spans="4:4" x14ac:dyDescent="0.3">
      <c r="D677" s="470"/>
    </row>
    <row r="678" spans="4:4" x14ac:dyDescent="0.3">
      <c r="D678" s="470"/>
    </row>
    <row r="679" spans="4:4" x14ac:dyDescent="0.3">
      <c r="D679" s="470"/>
    </row>
    <row r="680" spans="4:4" x14ac:dyDescent="0.3">
      <c r="D680" s="470"/>
    </row>
    <row r="681" spans="4:4" x14ac:dyDescent="0.3">
      <c r="D681" s="470"/>
    </row>
    <row r="682" spans="4:4" x14ac:dyDescent="0.3">
      <c r="D682" s="470"/>
    </row>
    <row r="683" spans="4:4" x14ac:dyDescent="0.3">
      <c r="D683" s="470"/>
    </row>
    <row r="684" spans="4:4" x14ac:dyDescent="0.3">
      <c r="D684" s="470"/>
    </row>
    <row r="685" spans="4:4" x14ac:dyDescent="0.3">
      <c r="D685" s="470"/>
    </row>
    <row r="686" spans="4:4" x14ac:dyDescent="0.3">
      <c r="D686" s="470"/>
    </row>
    <row r="687" spans="4:4" x14ac:dyDescent="0.3">
      <c r="D687" s="470"/>
    </row>
    <row r="688" spans="4:4" x14ac:dyDescent="0.3">
      <c r="D688" s="470"/>
    </row>
    <row r="689" spans="4:4" x14ac:dyDescent="0.3">
      <c r="D689" s="470"/>
    </row>
    <row r="690" spans="4:4" x14ac:dyDescent="0.3">
      <c r="D690" s="470"/>
    </row>
    <row r="691" spans="4:4" x14ac:dyDescent="0.3">
      <c r="D691" s="470"/>
    </row>
    <row r="692" spans="4:4" x14ac:dyDescent="0.3">
      <c r="D692" s="470"/>
    </row>
    <row r="693" spans="4:4" x14ac:dyDescent="0.3">
      <c r="D693" s="470"/>
    </row>
    <row r="694" spans="4:4" x14ac:dyDescent="0.3">
      <c r="D694" s="470"/>
    </row>
    <row r="695" spans="4:4" x14ac:dyDescent="0.3">
      <c r="D695" s="470"/>
    </row>
    <row r="696" spans="4:4" x14ac:dyDescent="0.3">
      <c r="D696" s="470"/>
    </row>
    <row r="697" spans="4:4" x14ac:dyDescent="0.3">
      <c r="D697" s="470"/>
    </row>
    <row r="698" spans="4:4" x14ac:dyDescent="0.3">
      <c r="D698" s="470"/>
    </row>
    <row r="699" spans="4:4" x14ac:dyDescent="0.3">
      <c r="D699" s="470"/>
    </row>
    <row r="700" spans="4:4" x14ac:dyDescent="0.3">
      <c r="D700" s="470"/>
    </row>
    <row r="701" spans="4:4" x14ac:dyDescent="0.3">
      <c r="D701" s="470"/>
    </row>
    <row r="702" spans="4:4" x14ac:dyDescent="0.3">
      <c r="D702" s="470"/>
    </row>
    <row r="703" spans="4:4" x14ac:dyDescent="0.3">
      <c r="D703" s="470"/>
    </row>
    <row r="704" spans="4:4" x14ac:dyDescent="0.3">
      <c r="D704" s="470"/>
    </row>
    <row r="705" spans="4:4" x14ac:dyDescent="0.3">
      <c r="D705" s="470"/>
    </row>
    <row r="706" spans="4:4" x14ac:dyDescent="0.3">
      <c r="D706" s="470"/>
    </row>
    <row r="707" spans="4:4" x14ac:dyDescent="0.3">
      <c r="D707" s="470"/>
    </row>
    <row r="708" spans="4:4" x14ac:dyDescent="0.3">
      <c r="D708" s="470"/>
    </row>
    <row r="709" spans="4:4" x14ac:dyDescent="0.3">
      <c r="D709" s="470"/>
    </row>
    <row r="710" spans="4:4" x14ac:dyDescent="0.3">
      <c r="D710" s="470"/>
    </row>
    <row r="711" spans="4:4" x14ac:dyDescent="0.3">
      <c r="D711" s="470"/>
    </row>
    <row r="712" spans="4:4" x14ac:dyDescent="0.3">
      <c r="D712" s="470"/>
    </row>
    <row r="713" spans="4:4" x14ac:dyDescent="0.3">
      <c r="D713" s="470"/>
    </row>
    <row r="714" spans="4:4" x14ac:dyDescent="0.3">
      <c r="D714" s="470"/>
    </row>
    <row r="715" spans="4:4" x14ac:dyDescent="0.3">
      <c r="D715" s="470"/>
    </row>
    <row r="716" spans="4:4" x14ac:dyDescent="0.3">
      <c r="D716" s="470"/>
    </row>
    <row r="717" spans="4:4" x14ac:dyDescent="0.3">
      <c r="D717" s="470"/>
    </row>
    <row r="718" spans="4:4" x14ac:dyDescent="0.3">
      <c r="D718" s="470"/>
    </row>
    <row r="719" spans="4:4" x14ac:dyDescent="0.3">
      <c r="D719" s="470"/>
    </row>
    <row r="720" spans="4:4" x14ac:dyDescent="0.3">
      <c r="D720" s="470"/>
    </row>
    <row r="721" spans="4:4" x14ac:dyDescent="0.3">
      <c r="D721" s="470"/>
    </row>
    <row r="722" spans="4:4" x14ac:dyDescent="0.3">
      <c r="D722" s="470"/>
    </row>
    <row r="723" spans="4:4" x14ac:dyDescent="0.3">
      <c r="D723" s="470"/>
    </row>
    <row r="724" spans="4:4" x14ac:dyDescent="0.3">
      <c r="D724" s="470"/>
    </row>
    <row r="725" spans="4:4" x14ac:dyDescent="0.3">
      <c r="D725" s="470"/>
    </row>
    <row r="726" spans="4:4" x14ac:dyDescent="0.3">
      <c r="D726" s="470"/>
    </row>
    <row r="727" spans="4:4" x14ac:dyDescent="0.3">
      <c r="D727" s="470"/>
    </row>
    <row r="728" spans="4:4" x14ac:dyDescent="0.3">
      <c r="D728" s="470"/>
    </row>
    <row r="729" spans="4:4" x14ac:dyDescent="0.3">
      <c r="D729" s="470"/>
    </row>
    <row r="730" spans="4:4" x14ac:dyDescent="0.3">
      <c r="D730" s="470"/>
    </row>
    <row r="731" spans="4:4" x14ac:dyDescent="0.3">
      <c r="D731" s="470"/>
    </row>
    <row r="732" spans="4:4" x14ac:dyDescent="0.3">
      <c r="D732" s="470"/>
    </row>
    <row r="733" spans="4:4" x14ac:dyDescent="0.3">
      <c r="D733" s="470"/>
    </row>
    <row r="734" spans="4:4" x14ac:dyDescent="0.3">
      <c r="D734" s="470"/>
    </row>
    <row r="735" spans="4:4" x14ac:dyDescent="0.3">
      <c r="D735" s="470"/>
    </row>
    <row r="736" spans="4:4" x14ac:dyDescent="0.3">
      <c r="D736" s="470"/>
    </row>
    <row r="737" spans="4:4" x14ac:dyDescent="0.3">
      <c r="D737" s="470"/>
    </row>
    <row r="738" spans="4:4" x14ac:dyDescent="0.3">
      <c r="D738" s="470"/>
    </row>
    <row r="739" spans="4:4" x14ac:dyDescent="0.3">
      <c r="D739" s="470"/>
    </row>
    <row r="740" spans="4:4" x14ac:dyDescent="0.3">
      <c r="D740" s="470"/>
    </row>
    <row r="741" spans="4:4" x14ac:dyDescent="0.3">
      <c r="D741" s="470"/>
    </row>
    <row r="742" spans="4:4" x14ac:dyDescent="0.3">
      <c r="D742" s="470"/>
    </row>
    <row r="743" spans="4:4" x14ac:dyDescent="0.3">
      <c r="D743" s="470"/>
    </row>
    <row r="744" spans="4:4" x14ac:dyDescent="0.3">
      <c r="D744" s="470"/>
    </row>
    <row r="745" spans="4:4" x14ac:dyDescent="0.3">
      <c r="D745" s="470"/>
    </row>
    <row r="746" spans="4:4" x14ac:dyDescent="0.3">
      <c r="D746" s="470"/>
    </row>
    <row r="747" spans="4:4" x14ac:dyDescent="0.3">
      <c r="D747" s="470"/>
    </row>
    <row r="748" spans="4:4" x14ac:dyDescent="0.3">
      <c r="D748" s="470"/>
    </row>
    <row r="749" spans="4:4" x14ac:dyDescent="0.3">
      <c r="D749" s="470"/>
    </row>
    <row r="750" spans="4:4" x14ac:dyDescent="0.3">
      <c r="D750" s="470"/>
    </row>
    <row r="751" spans="4:4" x14ac:dyDescent="0.3">
      <c r="D751" s="470"/>
    </row>
    <row r="752" spans="4:4" x14ac:dyDescent="0.3">
      <c r="D752" s="470"/>
    </row>
    <row r="753" spans="4:4" x14ac:dyDescent="0.3">
      <c r="D753" s="470"/>
    </row>
    <row r="754" spans="4:4" x14ac:dyDescent="0.3">
      <c r="D754" s="470"/>
    </row>
    <row r="755" spans="4:4" x14ac:dyDescent="0.3">
      <c r="D755" s="470"/>
    </row>
    <row r="756" spans="4:4" x14ac:dyDescent="0.3">
      <c r="D756" s="470"/>
    </row>
    <row r="757" spans="4:4" x14ac:dyDescent="0.3">
      <c r="D757" s="470"/>
    </row>
    <row r="758" spans="4:4" x14ac:dyDescent="0.3">
      <c r="D758" s="470"/>
    </row>
    <row r="759" spans="4:4" x14ac:dyDescent="0.3">
      <c r="D759" s="470"/>
    </row>
    <row r="760" spans="4:4" x14ac:dyDescent="0.3">
      <c r="D760" s="470"/>
    </row>
    <row r="761" spans="4:4" x14ac:dyDescent="0.3">
      <c r="D761" s="470"/>
    </row>
    <row r="762" spans="4:4" x14ac:dyDescent="0.3">
      <c r="D762" s="470"/>
    </row>
    <row r="763" spans="4:4" x14ac:dyDescent="0.3">
      <c r="D763" s="470"/>
    </row>
    <row r="764" spans="4:4" x14ac:dyDescent="0.3">
      <c r="D764" s="470"/>
    </row>
    <row r="765" spans="4:4" x14ac:dyDescent="0.3">
      <c r="D765" s="470"/>
    </row>
    <row r="766" spans="4:4" x14ac:dyDescent="0.3">
      <c r="D766" s="470"/>
    </row>
    <row r="767" spans="4:4" x14ac:dyDescent="0.3">
      <c r="D767" s="470"/>
    </row>
    <row r="768" spans="4:4" x14ac:dyDescent="0.3">
      <c r="D768" s="470"/>
    </row>
    <row r="769" spans="4:4" x14ac:dyDescent="0.3">
      <c r="D769" s="470"/>
    </row>
    <row r="770" spans="4:4" x14ac:dyDescent="0.3">
      <c r="D770" s="470"/>
    </row>
    <row r="771" spans="4:4" x14ac:dyDescent="0.3">
      <c r="D771" s="470"/>
    </row>
    <row r="772" spans="4:4" x14ac:dyDescent="0.3">
      <c r="D772" s="470"/>
    </row>
    <row r="773" spans="4:4" x14ac:dyDescent="0.3">
      <c r="D773" s="470"/>
    </row>
    <row r="774" spans="4:4" x14ac:dyDescent="0.3">
      <c r="D774" s="470"/>
    </row>
    <row r="775" spans="4:4" x14ac:dyDescent="0.3">
      <c r="D775" s="470"/>
    </row>
    <row r="776" spans="4:4" x14ac:dyDescent="0.3">
      <c r="D776" s="470"/>
    </row>
    <row r="777" spans="4:4" x14ac:dyDescent="0.3">
      <c r="D777" s="470"/>
    </row>
    <row r="778" spans="4:4" x14ac:dyDescent="0.3">
      <c r="D778" s="470"/>
    </row>
    <row r="779" spans="4:4" x14ac:dyDescent="0.3">
      <c r="D779" s="470"/>
    </row>
    <row r="780" spans="4:4" x14ac:dyDescent="0.3">
      <c r="D780" s="470"/>
    </row>
    <row r="781" spans="4:4" x14ac:dyDescent="0.3">
      <c r="D781" s="470"/>
    </row>
    <row r="782" spans="4:4" x14ac:dyDescent="0.3">
      <c r="D782" s="470"/>
    </row>
    <row r="783" spans="4:4" x14ac:dyDescent="0.3">
      <c r="D783" s="470"/>
    </row>
    <row r="784" spans="4:4" x14ac:dyDescent="0.3">
      <c r="D784" s="470"/>
    </row>
    <row r="785" spans="4:4" x14ac:dyDescent="0.3">
      <c r="D785" s="470"/>
    </row>
    <row r="786" spans="4:4" x14ac:dyDescent="0.3">
      <c r="D786" s="470"/>
    </row>
    <row r="787" spans="4:4" x14ac:dyDescent="0.3">
      <c r="D787" s="470"/>
    </row>
    <row r="788" spans="4:4" x14ac:dyDescent="0.3">
      <c r="D788" s="470"/>
    </row>
    <row r="789" spans="4:4" x14ac:dyDescent="0.3">
      <c r="D789" s="470"/>
    </row>
    <row r="790" spans="4:4" x14ac:dyDescent="0.3">
      <c r="D790" s="470"/>
    </row>
    <row r="791" spans="4:4" x14ac:dyDescent="0.3">
      <c r="D791" s="470"/>
    </row>
    <row r="792" spans="4:4" x14ac:dyDescent="0.3">
      <c r="D792" s="470"/>
    </row>
    <row r="793" spans="4:4" x14ac:dyDescent="0.3">
      <c r="D793" s="470"/>
    </row>
    <row r="794" spans="4:4" x14ac:dyDescent="0.3">
      <c r="D794" s="470"/>
    </row>
    <row r="795" spans="4:4" x14ac:dyDescent="0.3">
      <c r="D795" s="470"/>
    </row>
    <row r="796" spans="4:4" x14ac:dyDescent="0.3">
      <c r="D796" s="470"/>
    </row>
    <row r="797" spans="4:4" x14ac:dyDescent="0.3">
      <c r="D797" s="470"/>
    </row>
    <row r="798" spans="4:4" x14ac:dyDescent="0.3">
      <c r="D798" s="470"/>
    </row>
    <row r="799" spans="4:4" x14ac:dyDescent="0.3">
      <c r="D799" s="470"/>
    </row>
    <row r="800" spans="4:4" x14ac:dyDescent="0.3">
      <c r="D800" s="470"/>
    </row>
    <row r="801" spans="4:4" x14ac:dyDescent="0.3">
      <c r="D801" s="470"/>
    </row>
    <row r="802" spans="4:4" x14ac:dyDescent="0.3">
      <c r="D802" s="470"/>
    </row>
    <row r="803" spans="4:4" x14ac:dyDescent="0.3">
      <c r="D803" s="470"/>
    </row>
    <row r="804" spans="4:4" x14ac:dyDescent="0.3">
      <c r="D804" s="470"/>
    </row>
    <row r="805" spans="4:4" x14ac:dyDescent="0.3">
      <c r="D805" s="470"/>
    </row>
    <row r="806" spans="4:4" x14ac:dyDescent="0.3">
      <c r="D806" s="470"/>
    </row>
    <row r="807" spans="4:4" x14ac:dyDescent="0.3">
      <c r="D807" s="470"/>
    </row>
    <row r="808" spans="4:4" x14ac:dyDescent="0.3">
      <c r="D808" s="470"/>
    </row>
    <row r="809" spans="4:4" x14ac:dyDescent="0.3">
      <c r="D809" s="470"/>
    </row>
    <row r="810" spans="4:4" x14ac:dyDescent="0.3">
      <c r="D810" s="470"/>
    </row>
    <row r="811" spans="4:4" x14ac:dyDescent="0.3">
      <c r="D811" s="470"/>
    </row>
    <row r="812" spans="4:4" x14ac:dyDescent="0.3">
      <c r="D812" s="470"/>
    </row>
    <row r="813" spans="4:4" x14ac:dyDescent="0.3">
      <c r="D813" s="470"/>
    </row>
    <row r="814" spans="4:4" x14ac:dyDescent="0.3">
      <c r="D814" s="470"/>
    </row>
    <row r="815" spans="4:4" x14ac:dyDescent="0.3">
      <c r="D815" s="470"/>
    </row>
    <row r="816" spans="4:4" x14ac:dyDescent="0.3">
      <c r="D816" s="470"/>
    </row>
    <row r="817" spans="4:4" x14ac:dyDescent="0.3">
      <c r="D817" s="470"/>
    </row>
    <row r="818" spans="4:4" x14ac:dyDescent="0.3">
      <c r="D818" s="470"/>
    </row>
    <row r="819" spans="4:4" x14ac:dyDescent="0.3">
      <c r="D819" s="470"/>
    </row>
    <row r="820" spans="4:4" x14ac:dyDescent="0.3">
      <c r="D820" s="470"/>
    </row>
    <row r="821" spans="4:4" x14ac:dyDescent="0.3">
      <c r="D821" s="470"/>
    </row>
    <row r="822" spans="4:4" x14ac:dyDescent="0.3">
      <c r="D822" s="470"/>
    </row>
    <row r="823" spans="4:4" x14ac:dyDescent="0.3">
      <c r="D823" s="470"/>
    </row>
    <row r="824" spans="4:4" x14ac:dyDescent="0.3">
      <c r="D824" s="470"/>
    </row>
  </sheetData>
  <sheetProtection algorithmName="SHA-512" hashValue="LUwkPKvSqEzpvQzNTPZQo1ixKzflKkPwUWkFXLKvrFzS7Aml3vtdb2Aj5C0zJ3ZTxd9cZ5lIE+HDl13RekGJ6g==" saltValue="1VH9U0u5Pgitrd5brBpRRA==" spinCount="100000" sheet="1" objects="1" scenarios="1"/>
  <autoFilter ref="A1:B490" xr:uid="{DA085A03-4878-4426-A2CC-5DD7C0041933}"/>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6"/>
  <sheetViews>
    <sheetView workbookViewId="0"/>
  </sheetViews>
  <sheetFormatPr defaultColWidth="8.88671875" defaultRowHeight="14.4" x14ac:dyDescent="0.3"/>
  <cols>
    <col min="1" max="1" width="21.33203125" bestFit="1" customWidth="1"/>
    <col min="2" max="2" width="59.6640625" bestFit="1" customWidth="1"/>
    <col min="3" max="3" width="31.33203125" bestFit="1" customWidth="1"/>
    <col min="4" max="4" width="89" customWidth="1"/>
    <col min="5" max="5" width="35.88671875" customWidth="1"/>
    <col min="6" max="6" width="26.6640625" customWidth="1"/>
    <col min="7" max="7" width="44.33203125" bestFit="1" customWidth="1"/>
  </cols>
  <sheetData>
    <row r="1" spans="1:7" x14ac:dyDescent="0.3">
      <c r="A1" t="s">
        <v>3061</v>
      </c>
      <c r="B1" t="str">
        <f>template_reporting_period_startdate &amp; " - " &amp; template_reporting_period_enddate</f>
        <v>2024-01-01 - 2024-12-31</v>
      </c>
      <c r="C1" t="s">
        <v>4358</v>
      </c>
      <c r="D1" t="s">
        <v>3555</v>
      </c>
      <c r="E1" t="s">
        <v>3556</v>
      </c>
      <c r="F1" t="s">
        <v>3557</v>
      </c>
      <c r="G1" t="s">
        <v>3558</v>
      </c>
    </row>
    <row r="2" spans="1:7" ht="13.95" customHeight="1" x14ac:dyDescent="0.3">
      <c r="A2" t="s">
        <v>4372</v>
      </c>
      <c r="B2" t="str">
        <f>template_reporting_period_startdate</f>
        <v>2024-01-01</v>
      </c>
      <c r="C2" t="s">
        <v>4373</v>
      </c>
      <c r="D2" s="314" t="str">
        <f>IF(AND('General Information'!$H$449=TRUE, 'General Information'!D450&lt;&gt;"", 'General Information'!E450&lt;&gt;"", 'General Information'!F450&lt;&gt;"", 'General Information'!G450&lt;&gt;""), _xlfn.WEBSERVICE("https://nominatim.openstreetmap.org/search?q=" &amp; 'General Information'!K450 &amp; "&amp;format=json&amp;polygon=1&amp;addressdetails=1"), "")</f>
        <v>[{"place_id":68393187,"licence":"Data © OpenStreetMap contributors, ODbL 1.0. http://osm.org/copyright","osm_type":"way","osm_id":463529462,"lat":"45.4639102","lon":"9.1906398","class":"place","type":"square","place_rank":25,"importance":0.4615664466266592,"addresstype":"square","name":"Piazza del Duomo","display_name":"Piazza del Duomo, Duomo, Municipio 1, Milano, Lombardia, Italia","address":{"square":"Piazza del Duomo","quarter":"Duomo","suburb":"Municipio 1","city":"Milano","county":"Milano","ISO3166-2-lvl6":"IT-MI","state":"Lombardia","ISO3166-2-lvl4":"IT-25","country":"Italia","country_code":"it"},"boundingbox":["45.4629966","45.4647918","9.1883468","9.1929820"]},{"place_id":68429123,"licence":"Data © OpenStreetMap contributors, ODbL 1.0. http://osm.org/copyright","osm_type":"node","osm_id":7235042681,"lat":"45.4607835","lon":"9.1893098","class":"tourism","type":"hotel","place_rank":30,"importance":8.390707255660361e-05,"addresstype":"tourism","name":"Hotel The Square Milano Duomo","display_name":"Hotel The Square Milano Duomo, 4, Via Alberico Albricci, Cerchia dei Navigli, Municipio 1, Milano, Lombardia, 20122, Italia","address":{"tourism":"Hotel The Square Milano Duomo","house_number":"4","road":"Via Alberico Albricci","subdivision":"Cerchia dei Navigli","suburb":"Municipio 1","city":"Milano","county":"Milano","ISO3166-2-lvl6":"IT-MI","state":"Lombardia","ISO3166-2-lvl4":"IT-25","postcode":"20122","country":"Italia","country_code":"it"},"boundingbox":["45.4607335","45.4608335","9.1892598","9.1893598"]}]</v>
      </c>
      <c r="E2" s="315" t="str">
        <f t="shared" ref="E2:E26" si="0">MID(D2,SEARCH("""lat"":""",D2)+7,SEARCH("""lon"":""",D2)-SEARCH("""lat"":""",D2)-9)</f>
        <v>45.4639102</v>
      </c>
      <c r="F2" s="315" t="str">
        <f t="shared" ref="F2:F26" si="1">MID(D2, SEARCH("""lon"":""", D2) + 7, SEARCH("""class""", D2) - SEARCH("""lon"":""", D2) - 9)</f>
        <v>9.1906398</v>
      </c>
      <c r="G2" t="str">
        <f t="shared" ref="G2:G26" si="2">E2 &amp; "," &amp; F2</f>
        <v>45.4639102,9.1906398</v>
      </c>
    </row>
    <row r="3" spans="1:7" ht="15.6" customHeight="1" x14ac:dyDescent="0.3">
      <c r="A3" t="s">
        <v>3062</v>
      </c>
      <c r="B3" t="str">
        <f>template_reporting_period_enddate</f>
        <v>2024-12-31</v>
      </c>
      <c r="C3" t="s">
        <v>4357</v>
      </c>
      <c r="D3" s="314" t="str">
        <f>IF(AND('General Information'!$H$449=TRUE, 'General Information'!D451&lt;&gt;"", 'General Information'!E451&lt;&gt;"", 'General Information'!F451&lt;&gt;"", 'General Information'!G451&lt;&gt;""), _xlfn.WEBSERVICE("https://nominatim.openstreetmap.org/search?q=" &amp; 'General Information'!K451 &amp; "&amp;format=json&amp;polygon=1&amp;addressdetails=1"), "")</f>
        <v/>
      </c>
      <c r="E3" s="315" t="e">
        <f t="shared" si="0"/>
        <v>#VALUE!</v>
      </c>
      <c r="F3" s="315" t="e">
        <f t="shared" si="1"/>
        <v>#VALUE!</v>
      </c>
      <c r="G3" t="e">
        <f t="shared" si="2"/>
        <v>#VALUE!</v>
      </c>
    </row>
    <row r="4" spans="1:7" x14ac:dyDescent="0.3">
      <c r="D4" s="314" t="str">
        <f>IF(AND('General Information'!$H$449=TRUE, 'General Information'!D452&lt;&gt;"", 'General Information'!E452&lt;&gt;"", 'General Information'!F452&lt;&gt;"", 'General Information'!G452&lt;&gt;""), _xlfn.WEBSERVICE("https://nominatim.openstreetmap.org/search?q=" &amp; 'General Information'!K452 &amp; "&amp;format=json&amp;polygon=1&amp;addressdetails=1"), "")</f>
        <v/>
      </c>
      <c r="E4" s="315" t="e">
        <f t="shared" si="0"/>
        <v>#VALUE!</v>
      </c>
      <c r="F4" s="315" t="e">
        <f t="shared" si="1"/>
        <v>#VALUE!</v>
      </c>
      <c r="G4" t="e">
        <f t="shared" si="2"/>
        <v>#VALUE!</v>
      </c>
    </row>
    <row r="5" spans="1:7" x14ac:dyDescent="0.3">
      <c r="D5" s="314" t="str">
        <f>IF(AND('General Information'!$H$449=TRUE, 'General Information'!D453&lt;&gt;"", 'General Information'!E453&lt;&gt;"", 'General Information'!F453&lt;&gt;"", 'General Information'!G453&lt;&gt;""), _xlfn.WEBSERVICE("https://nominatim.openstreetmap.org/search?q=" &amp; 'General Information'!K453 &amp; "&amp;format=json&amp;polygon=1&amp;addressdetails=1"), "")</f>
        <v/>
      </c>
      <c r="E5" s="315" t="e">
        <f t="shared" si="0"/>
        <v>#VALUE!</v>
      </c>
      <c r="F5" s="315" t="e">
        <f t="shared" si="1"/>
        <v>#VALUE!</v>
      </c>
      <c r="G5" t="e">
        <f t="shared" si="2"/>
        <v>#VALUE!</v>
      </c>
    </row>
    <row r="6" spans="1:7" x14ac:dyDescent="0.3">
      <c r="D6" s="314" t="str">
        <f>IF(AND('General Information'!$H$449=TRUE, 'General Information'!D454&lt;&gt;"", 'General Information'!E454&lt;&gt;"", 'General Information'!F454&lt;&gt;"", 'General Information'!G454&lt;&gt;""), _xlfn.WEBSERVICE("https://nominatim.openstreetmap.org/search?q=" &amp; 'General Information'!K454 &amp; "&amp;format=json&amp;polygon=1&amp;addressdetails=1"), "")</f>
        <v/>
      </c>
      <c r="E6" s="315" t="e">
        <f t="shared" si="0"/>
        <v>#VALUE!</v>
      </c>
      <c r="F6" s="315" t="e">
        <f t="shared" si="1"/>
        <v>#VALUE!</v>
      </c>
      <c r="G6" t="e">
        <f t="shared" si="2"/>
        <v>#VALUE!</v>
      </c>
    </row>
    <row r="7" spans="1:7" x14ac:dyDescent="0.3">
      <c r="D7" s="314" t="str">
        <f>IF(AND('General Information'!$H$449=TRUE, 'General Information'!D455&lt;&gt;"", 'General Information'!E455&lt;&gt;"", 'General Information'!F455&lt;&gt;"", 'General Information'!G455&lt;&gt;""), _xlfn.WEBSERVICE("https://nominatim.openstreetmap.org/search?q=" &amp; 'General Information'!K455 &amp; "&amp;format=json&amp;polygon=1&amp;addressdetails=1"), "")</f>
        <v/>
      </c>
      <c r="E7" s="315" t="e">
        <f t="shared" si="0"/>
        <v>#VALUE!</v>
      </c>
      <c r="F7" s="315" t="e">
        <f t="shared" si="1"/>
        <v>#VALUE!</v>
      </c>
      <c r="G7" t="e">
        <f t="shared" si="2"/>
        <v>#VALUE!</v>
      </c>
    </row>
    <row r="8" spans="1:7" x14ac:dyDescent="0.3">
      <c r="D8" s="314" t="str">
        <f>IF(AND('General Information'!$H$449=TRUE, 'General Information'!D456&lt;&gt;"", 'General Information'!E456&lt;&gt;"", 'General Information'!F456&lt;&gt;"", 'General Information'!G456&lt;&gt;""), _xlfn.WEBSERVICE("https://nominatim.openstreetmap.org/search?q=" &amp; 'General Information'!K456 &amp; "&amp;format=json&amp;polygon=1&amp;addressdetails=1"), "")</f>
        <v/>
      </c>
      <c r="E8" s="315" t="e">
        <f t="shared" si="0"/>
        <v>#VALUE!</v>
      </c>
      <c r="F8" s="315" t="e">
        <f t="shared" si="1"/>
        <v>#VALUE!</v>
      </c>
      <c r="G8" t="e">
        <f t="shared" si="2"/>
        <v>#VALUE!</v>
      </c>
    </row>
    <row r="9" spans="1:7" x14ac:dyDescent="0.3">
      <c r="D9" s="314" t="str">
        <f>IF(AND('General Information'!$H$449=TRUE, 'General Information'!D457&lt;&gt;"", 'General Information'!E457&lt;&gt;"", 'General Information'!F457&lt;&gt;"", 'General Information'!G457&lt;&gt;""), _xlfn.WEBSERVICE("https://nominatim.openstreetmap.org/search?q=" &amp; 'General Information'!K457 &amp; "&amp;format=json&amp;polygon=1&amp;addressdetails=1"), "")</f>
        <v/>
      </c>
      <c r="E9" s="315" t="e">
        <f t="shared" si="0"/>
        <v>#VALUE!</v>
      </c>
      <c r="F9" s="315" t="e">
        <f t="shared" si="1"/>
        <v>#VALUE!</v>
      </c>
      <c r="G9" t="e">
        <f t="shared" si="2"/>
        <v>#VALUE!</v>
      </c>
    </row>
    <row r="10" spans="1:7" x14ac:dyDescent="0.3">
      <c r="D10" s="314" t="str">
        <f>IF(AND('General Information'!$H$449=TRUE, 'General Information'!D458&lt;&gt;"", 'General Information'!E458&lt;&gt;"", 'General Information'!F458&lt;&gt;"", 'General Information'!G458&lt;&gt;""), _xlfn.WEBSERVICE("https://nominatim.openstreetmap.org/search?q=" &amp; 'General Information'!K458 &amp; "&amp;format=json&amp;polygon=1&amp;addressdetails=1"), "")</f>
        <v/>
      </c>
      <c r="E10" s="315" t="e">
        <f t="shared" si="0"/>
        <v>#VALUE!</v>
      </c>
      <c r="F10" s="315" t="e">
        <f t="shared" si="1"/>
        <v>#VALUE!</v>
      </c>
      <c r="G10" t="e">
        <f t="shared" si="2"/>
        <v>#VALUE!</v>
      </c>
    </row>
    <row r="11" spans="1:7" x14ac:dyDescent="0.3">
      <c r="D11" s="314" t="str">
        <f>IF(AND('General Information'!$H$449=TRUE, 'General Information'!D459&lt;&gt;"", 'General Information'!E459&lt;&gt;"", 'General Information'!F459&lt;&gt;"", 'General Information'!G459&lt;&gt;""), _xlfn.WEBSERVICE("https://nominatim.openstreetmap.org/search?q=" &amp; 'General Information'!K459 &amp; "&amp;format=json&amp;polygon=1&amp;addressdetails=1"), "")</f>
        <v/>
      </c>
      <c r="E11" s="315" t="e">
        <f t="shared" si="0"/>
        <v>#VALUE!</v>
      </c>
      <c r="F11" s="315" t="e">
        <f t="shared" si="1"/>
        <v>#VALUE!</v>
      </c>
      <c r="G11" t="e">
        <f t="shared" si="2"/>
        <v>#VALUE!</v>
      </c>
    </row>
    <row r="12" spans="1:7" x14ac:dyDescent="0.3">
      <c r="D12" s="314" t="str">
        <f>IF(AND('General Information'!$H$449=TRUE, 'General Information'!D460&lt;&gt;"", 'General Information'!E460&lt;&gt;"", 'General Information'!F460&lt;&gt;"", 'General Information'!G460&lt;&gt;""), _xlfn.WEBSERVICE("https://nominatim.openstreetmap.org/search?q=" &amp; 'General Information'!K460 &amp; "&amp;format=json&amp;polygon=1&amp;addressdetails=1"), "")</f>
        <v/>
      </c>
      <c r="E12" s="315" t="e">
        <f t="shared" si="0"/>
        <v>#VALUE!</v>
      </c>
      <c r="F12" s="315" t="e">
        <f t="shared" si="1"/>
        <v>#VALUE!</v>
      </c>
      <c r="G12" t="e">
        <f t="shared" si="2"/>
        <v>#VALUE!</v>
      </c>
    </row>
    <row r="13" spans="1:7" x14ac:dyDescent="0.3">
      <c r="D13" s="314" t="str">
        <f>IF(AND('General Information'!$H$449=TRUE, 'General Information'!D461&lt;&gt;"", 'General Information'!E461&lt;&gt;"", 'General Information'!F461&lt;&gt;"", 'General Information'!G461&lt;&gt;""), _xlfn.WEBSERVICE("https://nominatim.openstreetmap.org/search?q=" &amp; 'General Information'!K461 &amp; "&amp;format=json&amp;polygon=1&amp;addressdetails=1"), "")</f>
        <v/>
      </c>
      <c r="E13" s="315" t="e">
        <f t="shared" si="0"/>
        <v>#VALUE!</v>
      </c>
      <c r="F13" s="315" t="e">
        <f t="shared" si="1"/>
        <v>#VALUE!</v>
      </c>
      <c r="G13" t="e">
        <f t="shared" si="2"/>
        <v>#VALUE!</v>
      </c>
    </row>
    <row r="14" spans="1:7" x14ac:dyDescent="0.3">
      <c r="D14" s="314" t="str">
        <f>IF(AND('General Information'!$H$449=TRUE, 'General Information'!D462&lt;&gt;"", 'General Information'!E462&lt;&gt;"", 'General Information'!F462&lt;&gt;"", 'General Information'!G462&lt;&gt;""), _xlfn.WEBSERVICE("https://nominatim.openstreetmap.org/search?q=" &amp; 'General Information'!K462 &amp; "&amp;format=json&amp;polygon=1&amp;addressdetails=1"), "")</f>
        <v/>
      </c>
      <c r="E14" s="315" t="e">
        <f t="shared" si="0"/>
        <v>#VALUE!</v>
      </c>
      <c r="F14" s="315" t="e">
        <f t="shared" si="1"/>
        <v>#VALUE!</v>
      </c>
      <c r="G14" t="e">
        <f t="shared" si="2"/>
        <v>#VALUE!</v>
      </c>
    </row>
    <row r="15" spans="1:7" x14ac:dyDescent="0.3">
      <c r="D15" s="314" t="str">
        <f>IF(AND('General Information'!$H$449=TRUE, 'General Information'!D463&lt;&gt;"", 'General Information'!E463&lt;&gt;"", 'General Information'!F463&lt;&gt;"", 'General Information'!G463&lt;&gt;""), _xlfn.WEBSERVICE("https://nominatim.openstreetmap.org/search?q=" &amp; 'General Information'!K463 &amp; "&amp;format=json&amp;polygon=1&amp;addressdetails=1"), "")</f>
        <v/>
      </c>
      <c r="E15" s="315" t="e">
        <f t="shared" si="0"/>
        <v>#VALUE!</v>
      </c>
      <c r="F15" s="315" t="e">
        <f t="shared" si="1"/>
        <v>#VALUE!</v>
      </c>
      <c r="G15" t="e">
        <f t="shared" si="2"/>
        <v>#VALUE!</v>
      </c>
    </row>
    <row r="16" spans="1:7" x14ac:dyDescent="0.3">
      <c r="D16" s="314" t="str">
        <f>IF(AND('General Information'!$H$449=TRUE, 'General Information'!D464&lt;&gt;"", 'General Information'!E464&lt;&gt;"", 'General Information'!F464&lt;&gt;"", 'General Information'!G464&lt;&gt;""), _xlfn.WEBSERVICE("https://nominatim.openstreetmap.org/search?q=" &amp; 'General Information'!K464 &amp; "&amp;format=json&amp;polygon=1&amp;addressdetails=1"), "")</f>
        <v/>
      </c>
      <c r="E16" s="315" t="e">
        <f t="shared" si="0"/>
        <v>#VALUE!</v>
      </c>
      <c r="F16" s="315" t="e">
        <f t="shared" si="1"/>
        <v>#VALUE!</v>
      </c>
      <c r="G16" t="e">
        <f t="shared" si="2"/>
        <v>#VALUE!</v>
      </c>
    </row>
    <row r="17" spans="4:7" x14ac:dyDescent="0.3">
      <c r="D17" s="314" t="str">
        <f>IF(AND('General Information'!$H$449=TRUE, 'General Information'!D465&lt;&gt;"", 'General Information'!E465&lt;&gt;"", 'General Information'!F465&lt;&gt;"", 'General Information'!G465&lt;&gt;""), _xlfn.WEBSERVICE("https://nominatim.openstreetmap.org/search?q=" &amp; 'General Information'!K465 &amp; "&amp;format=json&amp;polygon=1&amp;addressdetails=1"), "")</f>
        <v/>
      </c>
      <c r="E17" s="315" t="e">
        <f t="shared" si="0"/>
        <v>#VALUE!</v>
      </c>
      <c r="F17" s="315" t="e">
        <f t="shared" si="1"/>
        <v>#VALUE!</v>
      </c>
      <c r="G17" t="e">
        <f t="shared" si="2"/>
        <v>#VALUE!</v>
      </c>
    </row>
    <row r="18" spans="4:7" x14ac:dyDescent="0.3">
      <c r="D18" s="314" t="str">
        <f>IF(AND('General Information'!$H$449=TRUE, 'General Information'!D466&lt;&gt;"", 'General Information'!E466&lt;&gt;"", 'General Information'!F466&lt;&gt;"", 'General Information'!G466&lt;&gt;""), _xlfn.WEBSERVICE("https://nominatim.openstreetmap.org/search?q=" &amp; 'General Information'!K466 &amp; "&amp;format=json&amp;polygon=1&amp;addressdetails=1"), "")</f>
        <v/>
      </c>
      <c r="E18" s="315" t="e">
        <f t="shared" si="0"/>
        <v>#VALUE!</v>
      </c>
      <c r="F18" s="315" t="e">
        <f t="shared" si="1"/>
        <v>#VALUE!</v>
      </c>
      <c r="G18" t="e">
        <f t="shared" si="2"/>
        <v>#VALUE!</v>
      </c>
    </row>
    <row r="19" spans="4:7" x14ac:dyDescent="0.3">
      <c r="D19" s="314" t="str">
        <f>IF(AND('General Information'!$H$449=TRUE, 'General Information'!D467&lt;&gt;"", 'General Information'!E467&lt;&gt;"", 'General Information'!F467&lt;&gt;"", 'General Information'!G467&lt;&gt;""), _xlfn.WEBSERVICE("https://nominatim.openstreetmap.org/search?q=" &amp; 'General Information'!K467 &amp; "&amp;format=json&amp;polygon=1&amp;addressdetails=1"), "")</f>
        <v/>
      </c>
      <c r="E19" s="315" t="e">
        <f t="shared" si="0"/>
        <v>#VALUE!</v>
      </c>
      <c r="F19" s="315" t="e">
        <f t="shared" si="1"/>
        <v>#VALUE!</v>
      </c>
      <c r="G19" t="e">
        <f t="shared" si="2"/>
        <v>#VALUE!</v>
      </c>
    </row>
    <row r="20" spans="4:7" x14ac:dyDescent="0.3">
      <c r="D20" s="314" t="str">
        <f>IF(AND('General Information'!$H$449=TRUE, 'General Information'!D468&lt;&gt;"", 'General Information'!E468&lt;&gt;"", 'General Information'!F468&lt;&gt;"", 'General Information'!G468&lt;&gt;""), _xlfn.WEBSERVICE("https://nominatim.openstreetmap.org/search?q=" &amp; 'General Information'!K468 &amp; "&amp;format=json&amp;polygon=1&amp;addressdetails=1"), "")</f>
        <v/>
      </c>
      <c r="E20" s="315" t="e">
        <f t="shared" si="0"/>
        <v>#VALUE!</v>
      </c>
      <c r="F20" s="315" t="e">
        <f t="shared" si="1"/>
        <v>#VALUE!</v>
      </c>
      <c r="G20" t="e">
        <f t="shared" si="2"/>
        <v>#VALUE!</v>
      </c>
    </row>
    <row r="21" spans="4:7" x14ac:dyDescent="0.3">
      <c r="D21" s="314" t="str">
        <f>IF(AND('General Information'!$H$449=TRUE, 'General Information'!D469&lt;&gt;"", 'General Information'!E469&lt;&gt;"", 'General Information'!F469&lt;&gt;"", 'General Information'!G469&lt;&gt;""), _xlfn.WEBSERVICE("https://nominatim.openstreetmap.org/search?q=" &amp; 'General Information'!K469 &amp; "&amp;format=json&amp;polygon=1&amp;addressdetails=1"), "")</f>
        <v/>
      </c>
      <c r="E21" s="315" t="e">
        <f t="shared" si="0"/>
        <v>#VALUE!</v>
      </c>
      <c r="F21" s="315" t="e">
        <f t="shared" si="1"/>
        <v>#VALUE!</v>
      </c>
      <c r="G21" t="e">
        <f t="shared" si="2"/>
        <v>#VALUE!</v>
      </c>
    </row>
    <row r="22" spans="4:7" x14ac:dyDescent="0.3">
      <c r="D22" s="314" t="str">
        <f>IF(AND('General Information'!$H$449=TRUE, 'General Information'!D470&lt;&gt;"", 'General Information'!E470&lt;&gt;"", 'General Information'!F470&lt;&gt;"", 'General Information'!G470&lt;&gt;""), _xlfn.WEBSERVICE("https://nominatim.openstreetmap.org/search?q=" &amp; 'General Information'!K470 &amp; "&amp;format=json&amp;polygon=1&amp;addressdetails=1"), "")</f>
        <v/>
      </c>
      <c r="E22" s="315" t="e">
        <f t="shared" si="0"/>
        <v>#VALUE!</v>
      </c>
      <c r="F22" s="315" t="e">
        <f t="shared" si="1"/>
        <v>#VALUE!</v>
      </c>
      <c r="G22" t="e">
        <f t="shared" si="2"/>
        <v>#VALUE!</v>
      </c>
    </row>
    <row r="23" spans="4:7" x14ac:dyDescent="0.3">
      <c r="D23" s="314" t="str">
        <f>IF(AND('General Information'!$H$449=TRUE, 'General Information'!D471&lt;&gt;"", 'General Information'!E471&lt;&gt;"", 'General Information'!F471&lt;&gt;"", 'General Information'!G471&lt;&gt;""), _xlfn.WEBSERVICE("https://nominatim.openstreetmap.org/search?q=" &amp; 'General Information'!K471 &amp; "&amp;format=json&amp;polygon=1&amp;addressdetails=1"), "")</f>
        <v/>
      </c>
      <c r="E23" s="315" t="e">
        <f t="shared" si="0"/>
        <v>#VALUE!</v>
      </c>
      <c r="F23" s="315" t="e">
        <f t="shared" si="1"/>
        <v>#VALUE!</v>
      </c>
      <c r="G23" t="e">
        <f t="shared" si="2"/>
        <v>#VALUE!</v>
      </c>
    </row>
    <row r="24" spans="4:7" x14ac:dyDescent="0.3">
      <c r="D24" s="314" t="str">
        <f>IF(AND('General Information'!$H$449=TRUE, 'General Information'!D472&lt;&gt;"", 'General Information'!E472&lt;&gt;"", 'General Information'!F472&lt;&gt;"", 'General Information'!G472&lt;&gt;""), _xlfn.WEBSERVICE("https://nominatim.openstreetmap.org/search?q=" &amp; 'General Information'!K472 &amp; "&amp;format=json&amp;polygon=1&amp;addressdetails=1"), "")</f>
        <v/>
      </c>
      <c r="E24" s="315" t="e">
        <f t="shared" si="0"/>
        <v>#VALUE!</v>
      </c>
      <c r="F24" s="315" t="e">
        <f t="shared" si="1"/>
        <v>#VALUE!</v>
      </c>
      <c r="G24" t="e">
        <f t="shared" si="2"/>
        <v>#VALUE!</v>
      </c>
    </row>
    <row r="25" spans="4:7" x14ac:dyDescent="0.3">
      <c r="D25" s="314" t="str">
        <f>IF(AND('General Information'!$H$449=TRUE, 'General Information'!D548&lt;&gt;"", 'General Information'!E548&lt;&gt;"", 'General Information'!F548&lt;&gt;"", 'General Information'!G548&lt;&gt;""), _xlfn.WEBSERVICE("https://nominatim.openstreetmap.org/search?q=" &amp; 'General Information'!K548 &amp; "&amp;format=json&amp;polygon=1&amp;addressdetails=1"), "")</f>
        <v/>
      </c>
      <c r="E25" s="315" t="e">
        <f t="shared" si="0"/>
        <v>#VALUE!</v>
      </c>
      <c r="F25" s="315" t="e">
        <f t="shared" si="1"/>
        <v>#VALUE!</v>
      </c>
      <c r="G25" t="e">
        <f t="shared" si="2"/>
        <v>#VALUE!</v>
      </c>
    </row>
    <row r="26" spans="4:7" x14ac:dyDescent="0.3">
      <c r="D26" s="314" t="str">
        <f>IF(AND('General Information'!$H$449=TRUE, 'General Information'!D549&lt;&gt;"", 'General Information'!E549&lt;&gt;"", 'General Information'!F549&lt;&gt;"", 'General Information'!G549&lt;&gt;""), _xlfn.WEBSERVICE("https://nominatim.openstreetmap.org/search?q=" &amp; 'General Information'!K549 &amp; "&amp;format=json&amp;polygon=1&amp;addressdetails=1"), "")</f>
        <v/>
      </c>
      <c r="E26" s="315" t="e">
        <f t="shared" si="0"/>
        <v>#VALUE!</v>
      </c>
      <c r="F26" s="315" t="e">
        <f t="shared" si="1"/>
        <v>#VALUE!</v>
      </c>
      <c r="G26" t="e">
        <f t="shared" si="2"/>
        <v>#VALUE!</v>
      </c>
    </row>
  </sheetData>
  <sheetProtection algorithmName="SHA-512" hashValue="X6trEOI9bKg/8F4kiuN1Jua2lrsN3LLF+WY7MphX8tgY5ucPBbYrZ9UkMJ7jLphPA3/vG3snSf0fKUmtwwuB3g==" saltValue="zbXQeWtIH6JADTg75VWLh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4"/>
  <sheetViews>
    <sheetView showGridLines="0" zoomScaleNormal="100" workbookViewId="0"/>
  </sheetViews>
  <sheetFormatPr defaultColWidth="8.88671875" defaultRowHeight="14.4" x14ac:dyDescent="0.3"/>
  <cols>
    <col min="1" max="1" width="6" customWidth="1"/>
    <col min="2" max="2" width="56" customWidth="1"/>
    <col min="3" max="3" width="56.109375" customWidth="1"/>
    <col min="4" max="4" width="69.33203125" customWidth="1"/>
    <col min="5" max="5" width="33.5546875" customWidth="1"/>
    <col min="6" max="6" width="42.33203125" bestFit="1" customWidth="1"/>
    <col min="7" max="7" width="43.44140625" bestFit="1" customWidth="1"/>
    <col min="8" max="8" width="48.88671875" bestFit="1" customWidth="1"/>
    <col min="9" max="9" width="38.5546875" customWidth="1"/>
    <col min="10" max="10" width="45.6640625" customWidth="1"/>
    <col min="11" max="11" width="29" customWidth="1"/>
    <col min="12" max="12" width="32.44140625" customWidth="1"/>
    <col min="13" max="13" width="29.5546875" customWidth="1"/>
    <col min="14" max="14" width="21.44140625" bestFit="1" customWidth="1"/>
    <col min="15" max="15" width="11.44140625" customWidth="1"/>
    <col min="16" max="16" width="20.5546875" bestFit="1" customWidth="1"/>
    <col min="17" max="17" width="14.44140625" customWidth="1"/>
    <col min="18" max="18" width="14" bestFit="1" customWidth="1"/>
    <col min="21" max="23" width="20.5546875" bestFit="1" customWidth="1"/>
  </cols>
  <sheetData>
    <row r="1" spans="2:18" x14ac:dyDescent="0.3">
      <c r="B1" s="328" t="str">
        <f>template_label_version</f>
        <v>Version:</v>
      </c>
      <c r="C1" s="328" t="s">
        <v>9059</v>
      </c>
      <c r="D1" s="328"/>
    </row>
    <row r="2" spans="2:18" x14ac:dyDescent="0.3">
      <c r="B2" s="328" t="str">
        <f>template_label_publication_date</f>
        <v>Publication date:</v>
      </c>
      <c r="C2" s="329">
        <v>45988</v>
      </c>
      <c r="D2" s="328"/>
    </row>
    <row r="3" spans="2:18" ht="35.549999999999997" customHeight="1" x14ac:dyDescent="0.3">
      <c r="B3" s="524" t="str" cm="1">
        <f t="array" aca="1" ref="B3" ca="1">IF(ISERROR(CELL("filename",A1)),"Warning: The Digital Template was developed and tested using Microsoft Excel 365. Functionality may be limited or incorrect when using other spreadsheet applications or older versions of Excel.","")</f>
        <v/>
      </c>
      <c r="C3" s="524"/>
      <c r="D3" s="328"/>
    </row>
    <row r="5" spans="2:18" x14ac:dyDescent="0.3">
      <c r="B5" s="330"/>
    </row>
    <row r="6" spans="2:18" x14ac:dyDescent="0.3">
      <c r="B6" s="330"/>
    </row>
    <row r="7" spans="2:18" x14ac:dyDescent="0.3">
      <c r="B7" s="330"/>
    </row>
    <row r="8" spans="2:18" x14ac:dyDescent="0.3">
      <c r="B8" s="330"/>
    </row>
    <row r="9" spans="2:18" x14ac:dyDescent="0.3">
      <c r="B9" s="330"/>
    </row>
    <row r="10" spans="2:18" x14ac:dyDescent="0.3">
      <c r="B10" s="89" t="str">
        <f>template_label_taxonomy_entry_point</f>
        <v>Taxonomy entry point:</v>
      </c>
      <c r="C10" s="331" t="s">
        <v>5684</v>
      </c>
    </row>
    <row r="11" spans="2:18" x14ac:dyDescent="0.3">
      <c r="B11" s="89" t="str">
        <f>template_label_select_template_display_language</f>
        <v>Select Template Display Language:</v>
      </c>
      <c r="C11" s="465" t="s">
        <v>5687</v>
      </c>
    </row>
    <row r="12" spans="2:18" x14ac:dyDescent="0.3">
      <c r="B12" s="89" t="str">
        <f>template_label_title_of_report</f>
        <v>Main title of the report</v>
      </c>
      <c r="C12" t="str">
        <f>template_label_main_title_of_report_text</f>
        <v xml:space="preserve">Sustainability Report </v>
      </c>
    </row>
    <row r="13" spans="2:18" x14ac:dyDescent="0.3">
      <c r="B13" s="89" t="str">
        <f>template_label_subtitle_of_report</f>
        <v>Subtitle of the report</v>
      </c>
      <c r="C13" t="str">
        <f>template_label_subtitle_of_report_text</f>
        <v>Prepared in accordance with the Voluntary Sustainability Reporting Standard for small and medium-sized undertakings (VSME), released by the European Commission on 30 July 2025.</v>
      </c>
    </row>
    <row r="14" spans="2:18" s="333" customFormat="1" ht="63" x14ac:dyDescent="1.2">
      <c r="B14" s="332" t="str">
        <f>template_label_vsme_digital_template</f>
        <v>VSME Digital Template</v>
      </c>
    </row>
    <row r="15" spans="2:18" ht="354.6" customHeight="1" x14ac:dyDescent="0.3">
      <c r="B15" s="525"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5" s="526"/>
      <c r="D15" s="526"/>
      <c r="E15" s="527"/>
      <c r="F15" s="334"/>
      <c r="G15" s="334"/>
      <c r="H15" s="334"/>
      <c r="I15" s="334"/>
      <c r="J15" s="334"/>
      <c r="K15" s="334"/>
      <c r="L15" s="334"/>
      <c r="M15" s="334"/>
      <c r="N15" s="334"/>
      <c r="O15" s="334"/>
      <c r="P15" s="334"/>
      <c r="Q15" s="334"/>
      <c r="R15" s="334"/>
    </row>
    <row r="16" spans="2:18" ht="19.95" customHeight="1" x14ac:dyDescent="0.3">
      <c r="B16" s="335"/>
      <c r="C16" s="335"/>
      <c r="D16" s="335"/>
      <c r="E16" s="335"/>
      <c r="F16" s="334"/>
      <c r="G16" s="334"/>
      <c r="H16" s="334"/>
      <c r="I16" s="334"/>
      <c r="J16" s="334"/>
      <c r="K16" s="334"/>
      <c r="L16" s="334"/>
      <c r="M16" s="334"/>
      <c r="N16" s="334"/>
      <c r="O16" s="334"/>
      <c r="P16" s="334"/>
      <c r="Q16" s="334"/>
      <c r="R16" s="334"/>
    </row>
    <row r="17" spans="1:18" x14ac:dyDescent="0.3">
      <c r="B17" s="330"/>
    </row>
    <row r="18" spans="1:18" ht="26.7" customHeight="1" x14ac:dyDescent="0.4">
      <c r="B18" s="336" t="str">
        <f>template_label_how_to_use_it</f>
        <v>How to use it:</v>
      </c>
      <c r="C18" s="337"/>
      <c r="D18" s="337"/>
      <c r="E18" s="338"/>
      <c r="F18" s="339"/>
      <c r="G18" s="339"/>
      <c r="H18" s="339"/>
      <c r="I18" s="339"/>
      <c r="J18" s="339"/>
      <c r="K18" s="339"/>
      <c r="L18" s="339"/>
      <c r="M18" s="339"/>
      <c r="N18" s="339"/>
      <c r="O18" s="339"/>
      <c r="P18" s="339"/>
      <c r="Q18" s="339"/>
      <c r="R18" s="339"/>
    </row>
    <row r="19" spans="1:18" ht="18" x14ac:dyDescent="0.3">
      <c r="B19" s="528" t="str">
        <f>template_label_0_provide_information_that_is_mandatory_in_order_to_generate_the_vsme_and_xbrl_report</f>
        <v>0. Provide information that is mandatory in order to generate the VSME and XBRL Report.</v>
      </c>
      <c r="C19" s="529"/>
      <c r="D19" s="529"/>
      <c r="E19" s="530"/>
      <c r="F19" s="340"/>
      <c r="G19" s="340"/>
      <c r="H19" s="340"/>
      <c r="I19" s="340"/>
      <c r="J19" s="340"/>
      <c r="K19" s="340"/>
      <c r="L19" s="340"/>
      <c r="M19" s="340"/>
      <c r="N19" s="340"/>
      <c r="O19" s="340"/>
      <c r="P19" s="340"/>
      <c r="Q19" s="340"/>
      <c r="R19" s="340"/>
    </row>
    <row r="20" spans="1:18" ht="59.4" customHeight="1" x14ac:dyDescent="0.3">
      <c r="B20" s="528"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0" s="529"/>
      <c r="D20" s="529"/>
      <c r="E20" s="530"/>
      <c r="F20" s="340"/>
      <c r="G20" s="340"/>
      <c r="H20" s="340"/>
      <c r="I20" s="340"/>
      <c r="J20" s="340"/>
      <c r="K20" s="340"/>
      <c r="L20" s="340"/>
      <c r="M20" s="340"/>
      <c r="N20" s="340"/>
      <c r="O20" s="340"/>
      <c r="P20" s="340"/>
      <c r="Q20" s="340"/>
      <c r="R20" s="340"/>
    </row>
    <row r="21" spans="1:18" ht="39.6" customHeight="1" x14ac:dyDescent="0.3">
      <c r="B21" s="549"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1" s="550"/>
      <c r="D21" s="550"/>
      <c r="E21" s="551"/>
      <c r="F21" s="341"/>
      <c r="G21" s="341"/>
      <c r="H21" s="341"/>
      <c r="I21" s="341"/>
      <c r="J21" s="341"/>
      <c r="K21" s="341"/>
      <c r="L21" s="341"/>
      <c r="M21" s="341"/>
      <c r="N21" s="341"/>
      <c r="O21" s="341"/>
      <c r="P21" s="341"/>
      <c r="Q21" s="341"/>
      <c r="R21" s="341"/>
    </row>
    <row r="22" spans="1:18" ht="36" customHeight="1" x14ac:dyDescent="0.3">
      <c r="B22" s="528"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2" s="529"/>
      <c r="D22" s="529"/>
      <c r="E22" s="530"/>
      <c r="F22" s="341"/>
      <c r="G22" s="341"/>
      <c r="H22" s="341"/>
      <c r="I22" s="341"/>
      <c r="J22" s="341"/>
      <c r="K22" s="341"/>
      <c r="L22" s="341"/>
      <c r="M22" s="341"/>
      <c r="N22" s="341"/>
      <c r="O22" s="341"/>
      <c r="P22" s="341"/>
      <c r="Q22" s="341"/>
      <c r="R22" s="341"/>
    </row>
    <row r="23" spans="1:18" s="342" customFormat="1" ht="18" x14ac:dyDescent="0.3">
      <c r="B23" s="549" t="str">
        <f>template_label_4_validate_the_data_entered_by_checking_the_validation_status</f>
        <v>4. Validate the data entered by checking the validation status. The report is considered incomplete or erroneous if the validation fails, which might result in an invalid XBRL report.</v>
      </c>
      <c r="C23" s="550"/>
      <c r="D23" s="550"/>
      <c r="E23" s="551"/>
      <c r="F23" s="341"/>
      <c r="G23" s="341"/>
      <c r="H23" s="341"/>
      <c r="I23" s="341"/>
      <c r="J23" s="341"/>
      <c r="K23" s="341"/>
      <c r="L23" s="341"/>
      <c r="M23" s="341"/>
      <c r="N23" s="341"/>
      <c r="O23" s="341"/>
      <c r="P23" s="341"/>
      <c r="Q23" s="341"/>
      <c r="R23" s="341"/>
    </row>
    <row r="24" spans="1:18" ht="18" x14ac:dyDescent="0.3">
      <c r="B24" s="549" t="str">
        <f>template_label_5_convert_this_template_to_an_inline_xbrl_report</f>
        <v>5. Convert this template to an Inline XBRL report (or XBRL-JSON, XBRL-CSV), using the online converter. Pay attention to the XBRL validation performed by the validator.</v>
      </c>
      <c r="C24" s="550"/>
      <c r="D24" s="550"/>
      <c r="E24" s="551"/>
      <c r="F24" s="341"/>
      <c r="G24" s="341"/>
      <c r="H24" s="341"/>
      <c r="I24" s="341"/>
      <c r="J24" s="341"/>
      <c r="K24" s="341"/>
      <c r="L24" s="341"/>
      <c r="M24" s="341"/>
      <c r="N24" s="341"/>
      <c r="O24" s="341"/>
      <c r="P24" s="341"/>
      <c r="Q24" s="341"/>
      <c r="R24" s="341"/>
    </row>
    <row r="25" spans="1:18" ht="24.6" customHeight="1" x14ac:dyDescent="0.3">
      <c r="B25" s="537" t="str">
        <f>template_label_6_the_undertaking_may_also_upload_the_report_to_public_repositories_or_a_webpage</f>
        <v>6. The undertaking may also upload the report to public repositories or a webpage.</v>
      </c>
      <c r="C25" s="538"/>
      <c r="D25" s="538"/>
      <c r="E25" s="539"/>
      <c r="F25" s="341"/>
      <c r="G25" s="341"/>
      <c r="H25" s="341"/>
      <c r="I25" s="341"/>
      <c r="J25" s="341"/>
      <c r="K25" s="341"/>
      <c r="L25" s="341"/>
      <c r="M25" s="341"/>
      <c r="N25" s="341"/>
      <c r="O25" s="341"/>
      <c r="P25" s="341"/>
      <c r="Q25" s="341"/>
      <c r="R25" s="341"/>
    </row>
    <row r="26" spans="1:18" ht="18" x14ac:dyDescent="0.35">
      <c r="B26" s="339"/>
      <c r="C26" s="339"/>
      <c r="D26" s="339"/>
      <c r="E26" s="339"/>
      <c r="F26" s="339"/>
      <c r="G26" s="339"/>
      <c r="H26" s="339"/>
      <c r="I26" s="339"/>
      <c r="J26" s="339"/>
      <c r="K26" s="339"/>
      <c r="L26" s="339"/>
      <c r="M26" s="339"/>
      <c r="N26" s="339"/>
      <c r="O26" s="339"/>
      <c r="P26" s="339"/>
      <c r="Q26" s="339"/>
      <c r="R26" s="339"/>
    </row>
    <row r="27" spans="1:18" ht="36" customHeight="1" x14ac:dyDescent="0.35">
      <c r="B27" s="343" t="str">
        <f>template_label_cell_background_color_index</f>
        <v>Cell background color index:</v>
      </c>
      <c r="C27" s="339"/>
      <c r="D27" s="339"/>
      <c r="E27" s="339"/>
      <c r="F27" s="339"/>
      <c r="G27" s="339"/>
      <c r="H27" s="339"/>
      <c r="I27" s="339"/>
      <c r="J27" s="339"/>
      <c r="K27" s="339"/>
      <c r="L27" s="339"/>
      <c r="M27" s="339"/>
      <c r="N27" s="339"/>
      <c r="O27" s="339"/>
      <c r="P27" s="339"/>
      <c r="Q27" s="339"/>
      <c r="R27" s="339"/>
    </row>
    <row r="28" spans="1:18" ht="32.1" customHeight="1" x14ac:dyDescent="0.35">
      <c r="B28" s="344" t="str">
        <f>template_label_general_principles</f>
        <v>General Principles</v>
      </c>
      <c r="C28" s="534" t="str">
        <f>template_label_indicates_that_the_disclosure_is_from_the_general_principles_of_the_vsme</f>
        <v>Indicates that the disclosure is from the general principles of the VSME.</v>
      </c>
      <c r="D28" s="535"/>
      <c r="E28" s="536"/>
      <c r="F28" s="339"/>
      <c r="G28" s="339"/>
      <c r="H28" s="339"/>
      <c r="I28" s="339"/>
      <c r="J28" s="339"/>
      <c r="K28" s="339"/>
      <c r="L28" s="339"/>
      <c r="M28" s="339"/>
      <c r="N28" s="339"/>
      <c r="O28" s="339"/>
      <c r="P28" s="339"/>
      <c r="Q28" s="339"/>
      <c r="R28" s="339"/>
    </row>
    <row r="29" spans="1:18" ht="34.5" customHeight="1" x14ac:dyDescent="0.35">
      <c r="A29" s="345"/>
      <c r="B29" s="346" t="str">
        <f>template_label_basic_module</f>
        <v>Basic Module</v>
      </c>
      <c r="C29" s="534" t="str">
        <f>template_label_indicates_that_the_disclosure_is_from_the_vsme_basic_module</f>
        <v>Indicates that the disclosure is from the VSME Basic Module.</v>
      </c>
      <c r="D29" s="535"/>
      <c r="E29" s="536"/>
      <c r="F29" s="339"/>
      <c r="G29" s="347"/>
      <c r="H29" s="347"/>
      <c r="I29" s="347"/>
      <c r="J29" s="347"/>
      <c r="K29" s="347"/>
      <c r="L29" s="347"/>
      <c r="M29" s="347"/>
      <c r="N29" s="347"/>
      <c r="O29" s="347"/>
      <c r="P29" s="347"/>
      <c r="Q29" s="347"/>
      <c r="R29" s="347"/>
    </row>
    <row r="30" spans="1:18" ht="35.700000000000003" customHeight="1" x14ac:dyDescent="0.35">
      <c r="A30" s="345"/>
      <c r="B30" s="348" t="str">
        <f>template_label_comprehensive_module</f>
        <v>Comprehensive Module</v>
      </c>
      <c r="C30" s="534" t="str">
        <f>template_label_indicates_that_the_disclosure_is_from_the_vsme_comprehensive_module</f>
        <v>Indicates that the disclosure is from the VSME Comprehensive Module.</v>
      </c>
      <c r="D30" s="535"/>
      <c r="E30" s="536"/>
      <c r="F30" s="339"/>
      <c r="G30" s="347"/>
      <c r="H30" s="347"/>
      <c r="I30" s="347"/>
      <c r="J30" s="347"/>
      <c r="K30" s="347"/>
      <c r="L30" s="347"/>
      <c r="M30" s="347"/>
      <c r="N30" s="347"/>
      <c r="O30" s="347"/>
      <c r="P30" s="347"/>
      <c r="Q30" s="347"/>
      <c r="R30" s="347"/>
    </row>
    <row r="31" spans="1:18" ht="35.85" customHeight="1" x14ac:dyDescent="0.35">
      <c r="A31" s="345"/>
      <c r="B31" s="349"/>
      <c r="C31" s="531" t="str">
        <f>template_label_indicates_that_the_cell_is_automatically_calculated_and_that_no_data_entry_is_required</f>
        <v>Indicates that the cell is automatically calculated and that no data entry is required.</v>
      </c>
      <c r="D31" s="532"/>
      <c r="E31" s="533"/>
      <c r="F31" s="339"/>
      <c r="G31" s="350"/>
      <c r="H31" s="350"/>
      <c r="I31" s="350"/>
      <c r="J31" s="350"/>
      <c r="K31" s="350"/>
      <c r="L31" s="350"/>
      <c r="M31" s="350"/>
      <c r="N31" s="350"/>
      <c r="O31" s="350"/>
      <c r="P31" s="350"/>
      <c r="Q31" s="350"/>
      <c r="R31" s="350"/>
    </row>
    <row r="32" spans="1:18" ht="63" customHeight="1" x14ac:dyDescent="0.35">
      <c r="A32" s="345"/>
      <c r="B32" s="351"/>
      <c r="C32" s="531"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2" s="532"/>
      <c r="E32" s="533"/>
      <c r="F32" s="339"/>
      <c r="G32" s="350"/>
      <c r="H32" s="350"/>
      <c r="I32" s="350"/>
      <c r="J32" s="350"/>
      <c r="K32" s="350"/>
      <c r="L32" s="350"/>
      <c r="M32" s="350"/>
      <c r="N32" s="350"/>
      <c r="O32" s="350"/>
      <c r="P32" s="350"/>
      <c r="Q32" s="350"/>
      <c r="R32" s="350"/>
    </row>
    <row r="33" spans="1:18" ht="35.85" customHeight="1" x14ac:dyDescent="0.35">
      <c r="A33" s="345"/>
      <c r="B33" s="352"/>
      <c r="C33" s="531"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3" s="532"/>
      <c r="E33" s="533"/>
      <c r="F33" s="339"/>
      <c r="G33" s="350"/>
      <c r="H33" s="350"/>
      <c r="I33" s="350"/>
      <c r="J33" s="350"/>
      <c r="K33" s="350"/>
      <c r="L33" s="350"/>
      <c r="M33" s="350"/>
      <c r="N33" s="350"/>
      <c r="O33" s="350"/>
      <c r="P33" s="350"/>
      <c r="Q33" s="350"/>
      <c r="R33" s="350"/>
    </row>
    <row r="34" spans="1:18" ht="42" x14ac:dyDescent="0.35">
      <c r="B34" s="353" t="str">
        <f>template_label_validation_missing_value_error_velue_inconsistency_invalid_url</f>
        <v>Validation MISSING VALUE/ERROR/VALUE INCONSISTENCY/INVALID URL</v>
      </c>
      <c r="C34" s="534" t="str">
        <f>template_label_indicates_that_either_data_entry_is_incorrect_in_terms_of_format_or_that_certain_information</f>
        <v>Indicates that either data entry is incorrect in terms of format or that certain information is missing in order to correctly report on the disclosure.</v>
      </c>
      <c r="D34" s="535"/>
      <c r="E34" s="536"/>
      <c r="F34" s="339"/>
      <c r="G34" s="347"/>
      <c r="H34" s="347"/>
      <c r="I34" s="347"/>
      <c r="J34" s="347"/>
      <c r="K34" s="347"/>
      <c r="L34" s="347"/>
      <c r="M34" s="347"/>
      <c r="N34" s="347"/>
      <c r="O34" s="347"/>
      <c r="P34" s="347"/>
      <c r="Q34" s="347"/>
      <c r="R34" s="347"/>
    </row>
    <row r="35" spans="1:18" ht="22.35" customHeight="1" x14ac:dyDescent="0.35">
      <c r="B35" s="354" t="s">
        <v>2886</v>
      </c>
      <c r="C35" s="534" t="str">
        <f>template_label_indicates_that_data_entry_is_ok_and_the_undertaking_can_proceed_to_the_next_disclosure</f>
        <v>Indicates that data entry is OK and the undertaking can proceed to the next disclosure.</v>
      </c>
      <c r="D35" s="535"/>
      <c r="E35" s="536"/>
      <c r="F35" s="339"/>
      <c r="G35" s="347"/>
      <c r="H35" s="347"/>
      <c r="I35" s="347"/>
      <c r="J35" s="347"/>
      <c r="K35" s="347"/>
      <c r="L35" s="347"/>
      <c r="M35" s="347"/>
      <c r="N35" s="347"/>
      <c r="O35" s="347"/>
      <c r="P35" s="347"/>
      <c r="Q35" s="347"/>
      <c r="R35" s="347"/>
    </row>
    <row r="36" spans="1:18" ht="22.35" customHeight="1" x14ac:dyDescent="0.35">
      <c r="B36" s="355"/>
      <c r="C36" s="534" t="str">
        <f>template_label_no_value_can_be_entered_in_the_cell</f>
        <v>No value can be entered in the cell.</v>
      </c>
      <c r="D36" s="535"/>
      <c r="E36" s="536"/>
      <c r="F36" s="339"/>
      <c r="G36" s="347"/>
      <c r="H36" s="347"/>
      <c r="I36" s="347"/>
      <c r="J36" s="347"/>
      <c r="K36" s="347"/>
      <c r="L36" s="347"/>
      <c r="M36" s="347"/>
      <c r="N36" s="347"/>
      <c r="O36" s="347"/>
      <c r="P36" s="347"/>
      <c r="Q36" s="347"/>
      <c r="R36" s="347"/>
    </row>
    <row r="37" spans="1:18" ht="45.75" customHeight="1" x14ac:dyDescent="0.35">
      <c r="A37" s="345"/>
      <c r="B37" s="356" t="s">
        <v>2880</v>
      </c>
      <c r="C37" s="531" t="str">
        <f>template_label_lists_can_be_expanded_using_the_plus_button_on_the_left</f>
        <v>Lists can be expanded using the plus [+] button on the left. If the number of rows is not sufficient, additional rows can be added by right clicking the second row and selecting "Insert row".</v>
      </c>
      <c r="D37" s="532"/>
      <c r="E37" s="533"/>
      <c r="F37" s="339"/>
      <c r="G37" s="357"/>
      <c r="H37" s="357"/>
      <c r="I37" s="357"/>
      <c r="J37" s="357"/>
      <c r="K37" s="357"/>
      <c r="L37" s="357"/>
      <c r="M37" s="357"/>
      <c r="N37" s="357"/>
      <c r="O37" s="357"/>
      <c r="P37" s="357"/>
      <c r="Q37" s="357"/>
      <c r="R37" s="357"/>
    </row>
    <row r="42" spans="1:18" x14ac:dyDescent="0.3">
      <c r="B42" s="546"/>
      <c r="C42" s="547"/>
      <c r="D42" s="547"/>
      <c r="E42" s="548"/>
    </row>
    <row r="43" spans="1:18" ht="97.2" customHeight="1" x14ac:dyDescent="0.4">
      <c r="B43" s="540"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3" s="541"/>
      <c r="D43" s="541"/>
      <c r="E43" s="542"/>
    </row>
    <row r="44" spans="1:18" ht="21" x14ac:dyDescent="0.4">
      <c r="B44" s="543" t="str">
        <f>template_label_reproduction_and_use_rights_are_strictly_limited</f>
        <v>Reproduction and use rights are strictly limited. For further details please contact efragsecretariat@efrag.org</v>
      </c>
      <c r="C44" s="544"/>
      <c r="D44" s="544"/>
      <c r="E44" s="545"/>
    </row>
  </sheetData>
  <sheetProtection algorithmName="SHA-512" hashValue="7h+o7B/hhsjCCXmEkl8sSPV+MHnHQC7y6OCF81fBjv6ZCqS6TyrBoCQGd5EySOC8PCdgxiDpg89QZfYj/rfkFA==" saltValue="s5w360nJ4EX2WntscBW0Ew==" spinCount="100000" sheet="1" formatColumns="0" formatRows="0"/>
  <mergeCells count="22">
    <mergeCell ref="B43:E43"/>
    <mergeCell ref="B44:E44"/>
    <mergeCell ref="B42:E42"/>
    <mergeCell ref="B20:E20"/>
    <mergeCell ref="B21:E21"/>
    <mergeCell ref="B22:E22"/>
    <mergeCell ref="B23:E23"/>
    <mergeCell ref="B24:E24"/>
    <mergeCell ref="C32:E32"/>
    <mergeCell ref="C31:E31"/>
    <mergeCell ref="C28:E28"/>
    <mergeCell ref="C29:E29"/>
    <mergeCell ref="C30:E30"/>
    <mergeCell ref="B3:C3"/>
    <mergeCell ref="B15:E15"/>
    <mergeCell ref="B19:E19"/>
    <mergeCell ref="C33:E33"/>
    <mergeCell ref="C37:E37"/>
    <mergeCell ref="C36:E36"/>
    <mergeCell ref="C35:E35"/>
    <mergeCell ref="C34:E34"/>
    <mergeCell ref="B25:E25"/>
  </mergeCells>
  <phoneticPr fontId="3" type="noConversion"/>
  <dataValidations count="1">
    <dataValidation type="list" allowBlank="1" showInputMessage="1" showErrorMessage="1" sqref="C11" xr:uid="{84072F8F-C3B1-4691-857F-F393651AC632}">
      <formula1>template_translations</formula1>
    </dataValidation>
  </dataValidations>
  <hyperlinks>
    <hyperlink ref="C10" r:id="rId1" xr:uid="{BA49B7BA-5C2F-4722-8E1F-D5D51385FAB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dimension ref="B1:C68"/>
  <sheetViews>
    <sheetView zoomScaleNormal="100" workbookViewId="0"/>
  </sheetViews>
  <sheetFormatPr defaultColWidth="8.88671875" defaultRowHeight="14.4" x14ac:dyDescent="0.3"/>
  <cols>
    <col min="1" max="1" width="3.6640625" style="10" customWidth="1"/>
    <col min="2" max="2" width="98.109375" style="10" customWidth="1"/>
    <col min="3" max="3" width="50.6640625" style="10" customWidth="1"/>
    <col min="4" max="16384" width="8.88671875" style="10"/>
  </cols>
  <sheetData>
    <row r="1" spans="2:3" ht="15" thickBot="1" x14ac:dyDescent="0.35"/>
    <row r="2" spans="2:3" ht="18" x14ac:dyDescent="0.35">
      <c r="B2" s="358"/>
      <c r="C2" s="359" t="str">
        <f>template_label_overall_validation_status_validation</f>
        <v>Overall Validation Status</v>
      </c>
    </row>
    <row r="3" spans="2:3" ht="31.2" x14ac:dyDescent="0.6">
      <c r="B3" s="426" t="str">
        <f>template_label_table_of_contents_validation</f>
        <v>Table of Contents</v>
      </c>
      <c r="C3" s="360" t="str" cm="1">
        <f t="array" ref="C3">IF(SUMPRODUCT(--((C5:C68&lt;&gt;template_label_ok)*(C5:C68&lt;&gt;"-")*(C5:C68&lt;&gt;""))) &gt; 0, template_label_incomplete, template_label_complete)</f>
        <v>COMPLETE</v>
      </c>
    </row>
    <row r="4" spans="2:3" ht="18" x14ac:dyDescent="0.3">
      <c r="B4" s="361" t="str">
        <f>template_label_contents_grouping_follows_templates_framework</f>
        <v>Contents grouping follows template's framework</v>
      </c>
      <c r="C4" s="362" t="str">
        <f>template_label_specific_content_validation_status_validation</f>
        <v>Specific Content Validation Status</v>
      </c>
    </row>
    <row r="5" spans="2:3" x14ac:dyDescent="0.3">
      <c r="B5" s="363" t="str">
        <f>template_label_general_information_validation</f>
        <v>General Information</v>
      </c>
      <c r="C5" s="364"/>
    </row>
    <row r="6" spans="2:3" x14ac:dyDescent="0.3">
      <c r="B6" s="365" t="str">
        <f>template_label_information_on_the_report_necessary_for_xbrl_validation</f>
        <v>· Information on the report necessary for  XBRL</v>
      </c>
      <c r="C6" s="366"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OK</v>
      </c>
    </row>
    <row r="7" spans="2:3" x14ac:dyDescent="0.3">
      <c r="B7" s="367" t="str">
        <f>template_label_information_on_previous_reporting_period_validation</f>
        <v>· Information on previous reporting period</v>
      </c>
      <c r="C7" s="366" t="str">
        <f>IF(COUNTIF('General Information'!F18:F119, template_label_missing_value) &gt; 0, template_label_missing_value,
IF(COUNTIF('General Information'!F18:F119, template_label_invalid_url
 ) &gt; 0, template_label_invalid_url,
IF(COUNTIF('General Information'!F18:F119, template_label_value_inconsistency
 ) &gt; 0, template_label_value_inconsistency,
IF(COUNTIF('General Information'!F18:F119, template_label_ok) &gt; 0, template_label_ok, "-"))))</f>
        <v>-</v>
      </c>
    </row>
    <row r="8" spans="2:3" ht="18" x14ac:dyDescent="0.35">
      <c r="B8" s="427" t="str">
        <f>template_label_basic_module_validation</f>
        <v>Basic Module</v>
      </c>
      <c r="C8" s="368"/>
    </row>
    <row r="9" spans="2:3" x14ac:dyDescent="0.3">
      <c r="B9" s="363" t="str">
        <f>template_label_general_information_validation</f>
        <v>General Information</v>
      </c>
      <c r="C9" s="364"/>
    </row>
    <row r="10" spans="2:3" x14ac:dyDescent="0.3">
      <c r="B10" s="369" t="str">
        <f>template_label_b1_basis_for_preparation_validation</f>
        <v>· B1 - Basis for Preparation</v>
      </c>
      <c r="C10" s="366" t="str">
        <f>IF(COUNTIF(C11:C14,template_label_error_plus_missing_value_plus_value_inconsistency)&gt;0,template_label_error_plus_missing_value_plus_value_inconsistency,
IF(COUNTIF(C11:C14,template_label_error_plus_value_inconsistency)&gt;0,template_label_error_plus_value_inconsistency,
IF(COUNTIF(C11:C14,template_label_error_plus_missing_value)&gt;0,template_label_error_plus_missing_value,
IF(COUNTIF(C11:C14,template_label_error)&gt;0,template_label_error,
IF(COUNTIF(C11:C14,template_label_missing_value_plus_value_inconsistency)&gt;0,template_label_missing_value_plus_value_inconsistency,
IF(COUNTIF(C11:C14,template_label_value_inconsistency)&gt;0,template_label_value_inconsistency,
IF(COUNTIF(C11:C14,template_label_missing_value)&gt;0,template_label_missing_value,
IF(COUNTIF(C11:C14,template_label_ok)=ROWS(C11:C14),template_label_ok,
IF(COUNTIF(C11:C14,"-")=ROWS(C11:C14),"-",
template_label_ok)))))))))</f>
        <v>OK</v>
      </c>
    </row>
    <row r="11" spans="2:3" x14ac:dyDescent="0.3">
      <c r="B11" s="425" t="str">
        <f>template_label_basis_for_preparation_and_other_undertakings_general_information_validation</f>
        <v>Basis for Preparation and other undertaking's general information</v>
      </c>
      <c r="C11" s="366" t="str">
        <f>IF(
    AND(
        COUNTIF('General Information'!F122:F331, template_label_missing_value) &gt; 0,
        COUNTIF('General Information'!F122:F331, template_label_value_inconsistency) = 0,
        COUNTIF('General Information'!F122:F331, template_label_error) = 0
    ),
    template_label_missing_value,
IF(
    AND(
        COUNTIF('General Information'!F122:F331, template_label_value_inconsistency) &gt; 0,
        COUNTIF('General Information'!F122:F331, template_label_missing_value) = 0,
        COUNTIF('General Information'!F122:F331, template_label_error) = 0
    ),
    template_label_value_inconsistency,
IF(
    AND(
        COUNTIF('General Information'!F122:F331, template_label_value_inconsistency) = 0,
        COUNTIF('General Information'!F122:F331, template_label_missing_value) = 0,
        COUNTIF('General Information'!F122:F331, template_label_error) &gt; 0
    ),
    template_label_error,
IF(
    AND(
        COUNTIF('General Information'!F122:F331, template_label_value_inconsistency) &gt; 0,
        COUNTIF('General Information'!F122:F331, template_label_missing_value) &gt; 0,
        COUNTIF('General Information'!F122:F331, template_label_error) = 0
    ),
    template_label_missing_value_plus_value_inconsistency,
IF(
    AND(
        COUNTIF('General Information'!F122:F331, template_label_value_inconsistency) = 0,
        COUNTIF('General Information'!F122:F331, template_label_missing_value) &gt; 0,
        COUNTIF('General Information'!F122:F331, template_label_error) &gt; 0
    ),
    template_label_error_plus_missing_value,
IF(
    AND(
        COUNTIF('General Information'!F122:F331, template_label_value_inconsistency) &gt; 0,
        COUNTIF('General Information'!F122:F331, template_label_missing_value) = 0,
        COUNTIF('General Information'!F122:F331, template_label_error) &gt; 0
    ),
    template_label_error_plus_value_inconsistency,
IF(
    AND(
        COUNTIF('General Information'!F122:F331, template_label_value_inconsistency) &gt; 0,
        COUNTIF('General Information'!F122:F331, template_label_missing_value) &gt; 0,
        COUNTIF('General Information'!F122:F331, template_label_error) &gt; 0
    ),
    template_label_error_plus_missing_value_plus_value_inconsistency,
    template_label_ok
)))))))</f>
        <v>OK</v>
      </c>
    </row>
    <row r="12" spans="2:3" x14ac:dyDescent="0.3">
      <c r="B12" s="425" t="str">
        <f>template_label_list_of_subsidiaries_validation</f>
        <v>List of subsidiaries</v>
      </c>
      <c r="C12" s="366" t="str">
        <f>IF(
    COUNTIF('General Information'!F336:F435, template_label_missing_value) &gt; 0,
    template_label_missing_value,
    IF(
        COUNTIF('General Information'!F336:F435, template_label_ok) &gt; 0,
        template_label_ok,
        "-"
    )
)</f>
        <v>OK</v>
      </c>
    </row>
    <row r="13" spans="2:3" x14ac:dyDescent="0.3">
      <c r="B13" s="425" t="str">
        <f>template_label_disclosure_of_sustainability_related_certifications_or_labels_validation</f>
        <v>Disclosure of sustainability-related certification(s) or label(s)</v>
      </c>
      <c r="C13" s="366" t="str">
        <f>IF(
    COUNTIF('General Information'!I441, template_label_missing_value) &gt; 0,
    template_label_missing_value,
    IF(
        COUNTIF('General Information'!I441, template_label_ok) &gt; 0,
        template_label_ok,
        "-"
    )
)</f>
        <v>OK</v>
      </c>
    </row>
    <row r="14" spans="2:3" x14ac:dyDescent="0.3">
      <c r="B14" s="425" t="str">
        <f>template_label_list_of_sites_validation</f>
        <v>List of site(s)</v>
      </c>
      <c r="C14" s="366" t="str">
        <f>IF(
    COUNTIF('General Information'!I450:I549, template_label_missing_value) &gt; 0,
    template_label_missing_value,
    IF(
        COUNTIF('General Information'!I450:I549, template_label_ok) &gt; 0,
        template_label_ok,
        "-"
    )
)</f>
        <v>OK</v>
      </c>
    </row>
    <row r="15" spans="2:3" x14ac:dyDescent="0.3">
      <c r="B15" s="428" t="str">
        <f>template_label_b2_practices_policies_and_future_initiatives_for_transitioning_towards_a_more_sustainable_economy_validation</f>
        <v>· B2 - Practices, policies and future initiatives for transitioning towards a more sustainable economy</v>
      </c>
      <c r="C15" s="366" t="str">
        <f>IF(
    COUNTIF(C16:C17, template_label_error_plus_missing_value_plus_value_inconsistency) &gt; 0,
    template_label_error_plus_missing_value_plus_value_inconsistency,
    IF(
        COUNTIF(C16:C17, template_label_error_plus_value_inconsistency) &gt; 0,
        template_label_error_plus_value_inconsistency,
        IF(
            COUNTIF(C16:C17, template_label_error_plus_missing_value) &gt; 0,
            template_label_error_plus_missing_value,
            IF(
                COUNTIF(C16:C17, template_label_error) &gt; 0,
                template_label_error,
                IF(
                    COUNTIF(C16:C17, template_label_missing_value_plus_value_inconsistency) &gt; 0,
                    template_label_missing_value_plus_value_inconsistency,
                    IF(
                        COUNTIF(C16:C17, template_label_value_inconsistency) &gt; 0,
                        template_label_value_inconsistency,
                        IF(
                            COUNTIF(C16:C17, template_label_missing_value) &gt; 0,
                            template_label_missing_value,
                            IF(
                                COUNTIF(C16:C17, template_label_ok) = ROWS(C16:C17),
                                template_label_ok,
                                IF(
                                    COUNTIF(C16:C17, "-") = ROWS(C16:C17),
                                    "-",
                                    template_label_ok
                                )
                            )
                        )
                    )
                )
            )
        )
    )
)</f>
        <v>OK</v>
      </c>
    </row>
    <row r="16" spans="2:3" x14ac:dyDescent="0.3">
      <c r="B16" s="425" t="str">
        <f>template_label_practices_policies_and_future_initiatives_for_transitioning_towards_a_more_sustainable_economy_validation</f>
        <v>Practices, policies and future initiatives for transitioning towards a more sustainable economy</v>
      </c>
      <c r="C16" s="366" t="str">
        <f>IF(
    COUNTIF('General Information'!P556, template_label_missing_value) &gt; 0,
    template_label_missing_value,
    IF(
        COUNTIF('General Information'!P556, template_label_ok) &gt; 0,
        template_label_ok,
        "-"
    )
)</f>
        <v>OK</v>
      </c>
    </row>
    <row r="17" spans="2:3" x14ac:dyDescent="0.3">
      <c r="B17" s="425" t="str">
        <f>template_label_cooperative_specific_disclosures_validation</f>
        <v>Cooperative specific disclosures</v>
      </c>
      <c r="C17" s="366" t="str" cm="1">
        <f t="array" ref="C17">IF(OR('General Information'!E560:E562=template_label_ok),template_label_ok,"-")</f>
        <v>-</v>
      </c>
    </row>
    <row r="18" spans="2:3" x14ac:dyDescent="0.3">
      <c r="B18" s="370" t="str">
        <f>template_label_environmental_disclosures_validation</f>
        <v>Environmental Disclosures</v>
      </c>
      <c r="C18" s="364"/>
    </row>
    <row r="19" spans="2:3" x14ac:dyDescent="0.3">
      <c r="B19" s="430" t="str">
        <f>template_label_b3_energy_and_greenhouse_gas_emissions_validation</f>
        <v>· B3 - Energy and greenhouse gas emissions</v>
      </c>
      <c r="C19" s="366" t="str">
        <f>IF(COUNTIF(C20:C23,template_label_error_plus_missing_value_plus_value_inconsistency)&gt;0,template_label_error_plus_missing_value_plus_value_inconsistency,
IF(COUNTIF(C20:C23,template_label_error_plus_value_inconsistency)&gt;0,template_label_error_plus_value_inconsistency,
IF(COUNTIF(C20:C23,template_label_error_plus_missing_value)&gt;0,template_label_error_plus_missing_value,
IF(COUNTIF(C20:C23,template_label_error)&gt;0,template_label_error,
IF(COUNTIF(C20:C23,template_label_missing_value_plus_value_inconsistency)&gt;0,template_label_missing_value_plus_value_inconsistency,
IF(COUNTIF(C20:C23,template_label_value_inconsistency)&gt;0,template_label_value_inconsistency,
IF(COUNTIF(C20:C23,template_label_missing_value)&gt;0,template_label_missing_value,
IF(COUNTIF(C20:C23,template_label_ok)=ROWS(C20:C23),template_label_ok,
IF(COUNTIF(C20:C23,"-")=ROWS(C20:C23),"-",
template_label_ok)))))))))</f>
        <v>OK</v>
      </c>
    </row>
    <row r="20" spans="2:3" x14ac:dyDescent="0.3">
      <c r="B20" s="429" t="str">
        <f>template_label_total_energy_consumption_in_mwh_validation</f>
        <v>Total Energy Consumption (in MWh)</v>
      </c>
      <c r="C20" s="366" t="str">
        <f>IF(COUNTIF('Environmental Disclosures'!L5,template_label_missing_value)&gt;0,template_label_missing_value,
IF(COUNTIF('Environmental Disclosures'!L5,template_label_ok)&gt;0,template_label_ok,"-"))</f>
        <v>OK</v>
      </c>
    </row>
    <row r="21" spans="2:3" x14ac:dyDescent="0.3">
      <c r="B21" s="429" t="str">
        <f>template_label_breakdown_of_energy_consumption_in_mwh_validation</f>
        <v>Breakdown of energy consumption (in MWh)</v>
      </c>
      <c r="C21" s="371" t="str">
        <f>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COUNTA('Environmental Disclosures'!L12:L14,"-"),
"-",
template_label_ok
)
)
))</f>
        <v>-</v>
      </c>
    </row>
    <row r="22" spans="2:3" x14ac:dyDescent="0.3">
      <c r="B22" s="429" t="str">
        <f>template_label_estimated_greenhouse_gas_emissions_considering_the_ghg_protocol_version_2004_in_tco2e_validation</f>
        <v>Estimated Greenhouse Gas Emissions considering the GHG Protocol Version 2004 (in tCO2e)</v>
      </c>
      <c r="C22" s="366" t="str">
        <f>IF(COUNTIF('Environmental Disclosures'!L21:L44,template_label_missing_value)&gt;0,template_label_missing_value,
IF(COUNTIF('Environmental Disclosures'!L21:L44,template_label_ok)&gt;0,template_label_ok,"-"))</f>
        <v>OK</v>
      </c>
    </row>
    <row r="23" spans="2:3" x14ac:dyDescent="0.3">
      <c r="B23" s="429" t="str">
        <f>template_label_greenhouse_gas_emission_intensity_per_turnover_validation</f>
        <v>Greenhouse gas emission intensity per turnover</v>
      </c>
      <c r="C23" s="371" t="str">
        <f>IF(C22=template_label_ok,template_label_ok,"-")</f>
        <v>OK</v>
      </c>
    </row>
    <row r="24" spans="2:3" x14ac:dyDescent="0.3">
      <c r="B24" s="365" t="str">
        <f>template_label_b4_pollution_of_air_water_and_soil_validation</f>
        <v>· B4 - Pollution of air, water and soil</v>
      </c>
      <c r="C24" s="366" t="str">
        <f>IF(COUNTIF('Environmental Disclosures'!L75:L179,template_label_invalid_url)&gt;0,
   template_label_invalid_url,
IF(AND(COUNTIF('Environmental Disclosures'!L75:L179,template_label_missing_value)&gt;0,
       COUNTIF('Environmental Disclosures'!L75:L179,template_label_value_inconsistency)&gt;0),
   template_label_missing_value_plus_value_inconsistency,
IF(COUNTIF('Environmental Disclosures'!L75:L179,template_label_missing_value)&gt;0,
   template_label_missing_value,
IF(COUNTIF('Environmental Disclosures'!L75:L179,template_label_value_inconsistency)&gt;0,
   template_label_value_inconsistency,
IF(COUNTIF('Environmental Disclosures'!L75:L179,template_label_ok)&gt;0,
   template_label_ok,
"-")))))</f>
        <v>OK</v>
      </c>
    </row>
    <row r="25" spans="2:3" x14ac:dyDescent="0.3">
      <c r="B25" s="365" t="str">
        <f>template_label_b5_biodiversity_validation</f>
        <v>· B5 - Biodiversity</v>
      </c>
      <c r="C25" s="366" t="str">
        <f>IF(COUNTIF(C26:C27,template_label_error_plus_missing_value_plus_value_inconsistency)&gt;0,template_label_error_plus_missing_value_plus_value_inconsistency,
IF(COUNTIF(C26:C27,template_label_error_plus_value_inconsistency)&gt;0,template_label_error_plus_value_inconsistency,
IF(COUNTIF(C26:C27,template_label_error_plus_missing_value)&gt;0,template_label_error_plus_missing_value,
IF(COUNTIF(C26:C27,template_label_error)&gt;0,template_label_error,
IF(COUNTIF(C26:C27,template_label_missing_value_plus_value_inconsistency)&gt;0,template_label_missing_value_plus_value_inconsistency,
IF(COUNTIF(C26:C27,template_label_value_inconsistency)&gt;0,template_label_value_inconsistency,
IF(COUNTIF(C26:C27,template_label_missing_value)&gt;0,template_label_missing_value,
IF(COUNTIF(C26:C27,template_label_ok)=ROWS(C26:C27),template_label_ok,
IF(COUNTIF(C26:C27,"-")=ROWS(C26:C27),"-",
template_label_ok)))))))))</f>
        <v>OK</v>
      </c>
    </row>
    <row r="26" spans="2:3" x14ac:dyDescent="0.3">
      <c r="B26" s="429" t="str">
        <f>template_label_sites_in_biodiversity_sensitive_areas_validation</f>
        <v>Sites in biodiversity sensitive areas</v>
      </c>
      <c r="C26" s="366" t="str">
        <f>IF(AND(
        COUNTIF('Environmental Disclosures'!D188:D287,template_label_ok) + COUNTIF('Environmental Disclosures'!L186:L287,template_label_ok) &gt; 0,
        COUNTIF('Environmental Disclosures'!D188:D287,template_label_missing_value) + COUNTIF('Environmental Disclosures'!L186:L287,template_label_missing_value) = 0,
        COUNTIF('Environmental Disclosures'!D188:D287,template_label_value_inconsistency) + COUNTIF('Environmental Disclosures'!L186:L287,template_label_value_inconsistency) = 0),
    template_label_ok,
    IF(AND(
           COUNTIF('Environmental Disclosures'!D188:D287,template_label_missing_value) + COUNTIF('Environmental Disclosures'!L186:L287,template_label_missing_value) &gt; 0,
           COUNTIF('Environmental Disclosures'!D188:D287,template_label_value_inconsistency) + COUNTIF('Environmental Disclosures'!L186:L287,template_label_value_inconsistency) = 0),
        template_label_missing_value,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 0),
            template_label_value_inconsistency,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&gt; 0),
                template_label_missing_value_plus_value_inconsistency,
                "-"
            )
        )
    )
)</f>
        <v>OK</v>
      </c>
    </row>
    <row r="27" spans="2:3" x14ac:dyDescent="0.3">
      <c r="B27" s="429" t="str">
        <f>template_label_biodiversity_land_use_validation</f>
        <v>Biodiversity - Land-use</v>
      </c>
      <c r="C27" s="366" t="str">
        <f>IF(
AND(
COUNTIF('Environmental Disclosures'!G293:G298,template_label_missing_value)&gt;0,
COUNTIF('Environmental Disclosures'!G293:G298,template_label_value_inconsistency)=0,
COUNTIF('Environmental Disclosures'!G293:G298,template_label_ok)&gt;=0
),
template_label_missing_value,
IF(
AND(
COUNTIF('Environmental Disclosures'!G293:G298,template_label_value_inconsistency)&gt;0,
COUNTIF('Environmental Disclosures'!G293:G298,template_label_missing_value)=0,
COUNTIF('Environmental Disclosures'!G293:G298,template_label_ok)&gt;=0
),
template_label_value_inconsistency,
IF(
AND(
COUNTIF('Environmental Disclosures'!G293:G298,template_label_value_inconsistency)&gt;0,
COUNTIF('Environmental Disclosures'!G293:G298,template_label_missing_value)&gt;0,
COUNTIF('Environmental Disclosures'!G293:G298,template_label_ok)&gt;=0
),
template_label_missing_value_plus_value_inconsistency,
IF(
AND(
COUNTIF('Environmental Disclosures'!G293:G298,template_label_value_inconsistency)=0,
COUNTIF('Environmental Disclosures'!G293:G298,template_label_missing_value)=0,
COUNTIF('Environmental Disclosures'!G293:G298,template_label_ok)&gt;0
),
template_label_ok,
"-"
)
)
))</f>
        <v>OK</v>
      </c>
    </row>
    <row r="28" spans="2:3" x14ac:dyDescent="0.3">
      <c r="B28" s="365" t="str">
        <f>template_label_b6_water_validation</f>
        <v>· B6 - Water</v>
      </c>
      <c r="C28" s="366" t="str">
        <f>IF(COUNTIF(C29:C30,template_label_error_plus_missing_value_plus_value_inconsistency)&gt;0,template_label_error_plus_missing_value_plus_value_inconsistency,
IF(COUNTIF(C29:C30,template_label_error_plus_value_inconsistency)&gt;0,template_label_error_plus_value_inconsistency,
IF(COUNTIF(C29:C30,template_label_error_plus_missing_value)&gt;0,template_label_error_plus_missing_value,
IF(COUNTIF(C29:C30,template_label_error)&gt;0,template_label_error,
IF(COUNTIF(C29:C30,template_label_missing_value_plus_value_inconsistency)&gt;0,template_label_missing_value_plus_value_inconsistency,
IF(COUNTIF(C29:C30,template_label_value_inconsistency)&gt;0,template_label_value_inconsistency,
IF(COUNTIF(C29:C30,template_label_missing_value)&gt;0,template_label_missing_value,
IF(COUNTIF(C29:C30,template_label_ok)=ROWS(C29:C30),template_label_ok,
IF(COUNTIF(C29:C30,"-")=ROWS(C29:C30),"-",
template_label_ok)))))))))</f>
        <v>OK</v>
      </c>
    </row>
    <row r="29" spans="2:3" x14ac:dyDescent="0.3">
      <c r="B29" s="429" t="str">
        <f>template_label_water_withdrawal_validation</f>
        <v>Water Withdrawal</v>
      </c>
      <c r="C29" s="366" t="str">
        <f>IF(COUNTIF('Environmental Disclosures'!E303:F304, template_label_missing_value) &gt; 0,
    template_label_missing_value,
    IF(COUNTIF('Environmental Disclosures'!E303:F304, template_label_ok) &gt; 0,
        template_label_ok,
        "-"))</f>
        <v>OK</v>
      </c>
    </row>
    <row r="30" spans="2:3" x14ac:dyDescent="0.3">
      <c r="B30" s="429" t="str">
        <f>template_label_water_consumption_validation</f>
        <v>Water Consumption</v>
      </c>
      <c r="C30" s="366" t="str">
        <f>IF(COUNTIF('Environmental Disclosures'!E310:F310, template_label_missing_value) &gt; 0,
    template_label_missing_value,
    IF(COUNTIF('Environmental Disclosures'!E310:F310, template_label_ok) &gt; 0,
        template_label_ok,
        "-"))</f>
        <v>OK</v>
      </c>
    </row>
    <row r="31" spans="2:3" x14ac:dyDescent="0.3">
      <c r="B31" s="365" t="str">
        <f>template_label_b7_resource_use_circular_economy_and_waste_management_validation</f>
        <v>· B7 - Resource use, circular economy and waste management</v>
      </c>
      <c r="C31" s="366" t="str">
        <f>IF(COUNTIF(C32:C34, template_label_error_plus_missing_value_plus_value_inconsistency) &gt; 0, template_label_error_plus_missing_value_plus_value_inconsistency,
IF(COUNTIF(C32:C34, template_label_error_plus_value_inconsistency) &gt; 0, template_label_error_plus_value_inconsistency,
IF(COUNTIF(C32:C34, template_label_error_plus_missing_value) &gt; 0, template_label_error_plus_missing_value,
IF(COUNTIF(C32:C34, template_label_error) &gt; 0, template_label_error,
IF(COUNTIF(C32:C34, template_label_missing_value_plus_value_inconsistency) &gt; 0, template_label_missing_value_plus_value_inconsistency,
IF(COUNTIF(C32:C34, template_label_value_inconsistency) &gt; 0, template_label_value_inconsistency,
IF(COUNTIF(C32:C34, template_label_missing_value) &gt; 0, template_label_missing_value,
IF(COUNTIF(C32:C34, template_label_ok) = ROWS(C32:C34), template_label_ok,
IF(COUNTIF(C32:C34, "-") = ROWS(C32:C34), "-",
template_label_ok)))))))))</f>
        <v>OK</v>
      </c>
    </row>
    <row r="32" spans="2:3" x14ac:dyDescent="0.3">
      <c r="B32" s="429" t="str">
        <f>template_label_description_of_circular_economy_principles_validation</f>
        <v>Description of circular economy principles</v>
      </c>
      <c r="C32" s="366" t="str">
        <f>IF(
AND(
COUNTIF('Environmental Disclosures'!H316:I317, template_label_missing_value) &gt; 0,
COUNTIF('Environmental Disclosures'!H316:I317, template_label_value_inconsistency) = 0,
COUNTIF('Environmental Disclosures'!H316:I317, template_label_ok) &gt;= 0
),
template_label_missing_value,
IF(
AND(
COUNTIF('Environmental Disclosures'!H316:I317, template_label_value_inconsistency) &gt; 0,
COUNTIF('Environmental Disclosures'!H316:I317, template_label_missing_value) = 0,
COUNTIF('Environmental Disclosures'!H316:I317, template_label_ok) &gt;= 0
),
template_label_value_inconsistency,
IF(
AND(
COUNTIF('Environmental Disclosures'!H316:I317, template_label_value_inconsistency) &gt; 0,
COUNTIF('Environmental Disclosures'!H316:I317, template_label_missing_value) &gt; 0,
COUNTIF('Environmental Disclosures'!H316:I317, template_label_ok) &gt;= 0
),
template_label_missing_value_plus_value_inconsistency,
IF(
AND(
COUNTIF('Environmental Disclosures'!H316:I317, template_label_value_inconsistency) = 0,
COUNTIF('Environmental Disclosures'!H316:I317, template_label_missing_value) = 0,
COUNTIF('Environmental Disclosures'!H316:I317, template_label_ok) &gt; 0
),
template_label_ok,
"-"
)
)
))</f>
        <v>OK</v>
      </c>
    </row>
    <row r="33" spans="2:3" x14ac:dyDescent="0.3">
      <c r="B33" s="429" t="str">
        <f>template_label_waste_generated_validation</f>
        <v>Waste generated</v>
      </c>
      <c r="C33" s="366" t="str">
        <f>IF(
    AND(
        COUNTIF('Environmental Disclosures'!M323:M423, template_label_error) &gt; 0,
        COUNTIF('Environmental Disclosures'!M323:M423, template_label_missing_value) &gt; 0,
        COUNTIF('Environmental Disclosures'!M323:M423, template_label_value_inconsistency) &gt; 0
    ),
    template_label_error_plus_missing_value_plus_value_inconsistency,
IF(
    AND(
        COUNTIF('Environmental Disclosures'!M323:M423, template_label_error) &gt; 0,
        COUNTIF('Environmental Disclosures'!M323:M423, template_label_value_inconsistency) &gt; 0,
        COUNTIF('Environmental Disclosures'!M323:M423, template_label_missing_value) = 0
    ),
    template_label_error_plus_value_inconsistency,
IF(
    AND(
        COUNTIF('Environmental Disclosures'!M323:M423, template_label_error) &gt; 0,
        COUNTIF('Environmental Disclosures'!M323:M423, template_label_missing_value) &gt; 0,
        COUNTIF('Environmental Disclosures'!M323:M423, template_label_value_inconsistency) = 0
    ),
    template_label_error_plus_missing_value,
IF(
    AND(
        COUNTIF('Environmental Disclosures'!M323:M423, template_label_missing_value) &gt; 0,
        COUNTIF('Environmental Disclosures'!M323:M423, template_label_value_inconsistency) &gt; 0,
        COUNTIF('Environmental Disclosures'!M323:M423, template_label_error) = 0
    ),
    template_label_missing_value_plus_value_inconsistency,
IF(
    AND(
        COUNTIF('Environmental Disclosures'!M323:M423, template_label_error) &gt; 0,
        COUNTIF('Environmental Disclosures'!M323:M423, template_label_missing_value) = 0,
        COUNTIF('Environmental Disclosures'!M323:M423, template_label_value_inconsistency) = 0
    ),
    template_label_error,
IF(
    AND(
        COUNTIF('Environmental Disclosures'!M323:M423, template_label_missing_value) &gt; 0,
        COUNTIF('Environmental Disclosures'!M323:M423, template_label_error) = 0,
        COUNTIF('Environmental Disclosures'!M323:M423, template_label_value_inconsistency) = 0
    ),
    template_label_missing_value,
IF(
    AND(
        COUNTIF('Environmental Disclosures'!M323:M423, template_label_value_inconsistency) &gt; 0,
        COUNTIF('Environmental Disclosures'!M323:M423, template_label_error) = 0,
        COUNTIF('Environmental Disclosures'!M323:M423, template_label_missing_value) = 0
    ),
    template_label_value_inconsistency,
IF(
    AND(
        COUNTIF('Environmental Disclosures'!M323:M423, template_label_error) = 0,
        COUNTIF('Environmental Disclosures'!M323:M423, template_label_missing_value) = 0,
        COUNTIF('Environmental Disclosures'!M323:M423, template_label_value_inconsistency) = 0,
        COUNTIF('Environmental Disclosures'!M323:M423, template_label_ok) &gt; 0
    ),
    template_label_ok,
"-"
))))))))</f>
        <v>OK</v>
      </c>
    </row>
    <row r="34" spans="2:3" x14ac:dyDescent="0.3">
      <c r="B34" s="429" t="str">
        <f>template_label_annual_mass_flow_of_relevant_materials_used_validation</f>
        <v>Annual mass-flow of relevant materials used</v>
      </c>
      <c r="C34" s="366" t="str">
        <f>IF(COUNTIF('Environmental Disclosures'!K435:K534, template_label_missing_value) &gt; 0,
    template_label_missing_value,
    IF(COUNTIF('Environmental Disclosures'!K435:K534, template_label_ok) &gt; 0,
        template_label_ok,
        "-"))</f>
        <v>OK</v>
      </c>
    </row>
    <row r="35" spans="2:3" x14ac:dyDescent="0.3">
      <c r="B35" s="370" t="str">
        <f>template_label_social_disclosures_validation</f>
        <v>Social Disclosures</v>
      </c>
      <c r="C35" s="364"/>
    </row>
    <row r="36" spans="2:3" x14ac:dyDescent="0.3">
      <c r="B36" s="430" t="str">
        <f>template_label_b8_workforce_general_characteristics_validation</f>
        <v>· B8 - Workforce - General characteristics</v>
      </c>
      <c r="C36" s="366" t="str">
        <f>IF(COUNTIF(C37:C40, template_label_error_plus_missing_value_plus_value_inconsistency) &gt; 0, template_label_error_plus_missing_value_plus_value_inconsistency,
IF(COUNTIF(C37:C40, template_label_error_plus_value_inconsistency) &gt; 0, template_label_error_plus_value_inconsistency,
IF(COUNTIF(C37:C40, template_label_error_plus_missing_value) &gt; 0, template_label_error_plus_missing_value,
IF(COUNTIF(C37:C40, template_label_error) &gt; 0, template_label_error,
IF(COUNTIF(C37:C40, template_label_missing_value_plus_value_inconsistency) &gt; 0, template_label_missing_value_plus_value_inconsistency,
IF(COUNTIF(C37:C40, template_label_value_inconsistency) &gt; 0, template_label_value_inconsistency,
IF(COUNTIF(C37:C40, template_label_missing_value) &gt; 0, template_label_missing_value,
IF(COUNTIF(C37:C40, template_label_ok) = ROWS(C37:C40), template_label_ok,
IF(COUNTIF(C37:C40, "-") = ROWS(C37:C40), "-",
template_label_ok)))))))))</f>
        <v>OK</v>
      </c>
    </row>
    <row r="37" spans="2:3" x14ac:dyDescent="0.3">
      <c r="B37" s="429" t="str">
        <f>template_label_type_of_contract_validation</f>
        <v>Type of contract</v>
      </c>
      <c r="C37" s="366" t="str">
        <f>IF(COUNTIF('Social Disclosures'!H10, template_label_missing_value) &gt; 0,
    template_label_missing_value,
    IF(COUNTIF('Social Disclosures'!H10, template_label_ok) &gt; 0,
        template_label_ok,
        "-"))</f>
        <v>OK</v>
      </c>
    </row>
    <row r="38" spans="2:3" x14ac:dyDescent="0.3">
      <c r="B38" s="429" t="str">
        <f>template_label_gender_validation</f>
        <v>Gender</v>
      </c>
      <c r="C38" s="366" t="str">
        <f>IF(COUNTIF('Social Disclosures'!H18:H21, template_label_missing_value) &gt; 0,
    template_label_missing_value,
    IF(COUNTIF('Social Disclosures'!H18:H21, template_label_ok) &gt; 0,
        template_label_ok,
        "-"))</f>
        <v>OK</v>
      </c>
    </row>
    <row r="39" spans="2:3" x14ac:dyDescent="0.3">
      <c r="B39" s="429" t="str">
        <f>template_label_country_of_employment_validation</f>
        <v>Country of employment</v>
      </c>
      <c r="C39" s="366" t="str">
        <f>IF(COUNTIF('Social Disclosures'!I29:I128, template_label_missing_value) &gt; 0,
    template_label_missing_value,
    IF(COUNTIF('Social Disclosures'!I29:I128, template_label_ok) &gt; 0,
        template_label_ok,
        "-"))</f>
        <v>OK</v>
      </c>
    </row>
    <row r="40" spans="2:3" x14ac:dyDescent="0.3">
      <c r="B40" s="429" t="str">
        <f>template_label_turnover_rate_validation</f>
        <v>Turnover rate</v>
      </c>
      <c r="C40" s="366" t="str">
        <f>IF(COUNTIF('Social Disclosures'!I134:I136, template_label_missing_value) &gt; 0,
    template_label_missing_value,
    IF(COUNTIF('Social Disclosures'!I134:I136, template_label_ok) &gt; 0,
        template_label_ok,
        "-"))</f>
        <v>OK</v>
      </c>
    </row>
    <row r="41" spans="2:3" x14ac:dyDescent="0.3">
      <c r="B41" s="365" t="str">
        <f>template_label_b9_workforce_health_and_safety_validation</f>
        <v>· B9 - Workforce – Health and safety</v>
      </c>
      <c r="C41" s="366" t="str">
        <f>IF(COUNTIF('Social Disclosures'!I140:I144, template_label_missing_value) &gt; 0,
    template_label_missing_value,
    IF(COUNTIF('Social Disclosures'!I140:I144, template_label_ok) &gt; 0,
        template_label_ok,
        "-"))</f>
        <v>OK</v>
      </c>
    </row>
    <row r="42" spans="2:3" x14ac:dyDescent="0.3">
      <c r="B42" s="367" t="str">
        <f>template_label_b10_workforce_remuneration_collective_bargaining_and_training_validation</f>
        <v>· B10 - Workforce – Remuneration, collective bargaining and training</v>
      </c>
      <c r="C42" s="366" t="str">
        <f>IF(COUNTIF('Social Disclosures'!I157:I160, template_label_missing_value) &gt; 0,
    template_label_missing_value,
    IF(COUNTIF('Social Disclosures'!I157:I160, template_label_ok) &gt; 0,
        template_label_ok,
        "-"))</f>
        <v>OK</v>
      </c>
    </row>
    <row r="43" spans="2:3" x14ac:dyDescent="0.3">
      <c r="B43" s="370" t="str">
        <f>template_label_governance_disclosures_validation</f>
        <v>Governance Disclosures</v>
      </c>
      <c r="C43" s="364"/>
    </row>
    <row r="44" spans="2:3" x14ac:dyDescent="0.3">
      <c r="B44" s="367" t="str">
        <f>template_label_b11_convictions_and_fines_for_corruption_and_bribery_validation</f>
        <v>· B11 - Convictions and fines for corruption and bribery</v>
      </c>
      <c r="C44" s="366" t="str">
        <f>IF(COUNTIF('Governance Disclosures'!I6:I7, template_label_missing_value) &gt; 0,
    template_label_missing_value,
    IF(COUNTIF('Governance Disclosures'!I6:I7, template_label_ok) &gt; 0,
        template_label_ok,
        "-"))</f>
        <v>OK</v>
      </c>
    </row>
    <row r="45" spans="2:3" ht="18" x14ac:dyDescent="0.35">
      <c r="B45" s="427" t="str">
        <f>template_label_comprehensive_module_validation</f>
        <v>Comprehensive Module</v>
      </c>
      <c r="C45" s="368"/>
    </row>
    <row r="46" spans="2:3" x14ac:dyDescent="0.3">
      <c r="B46" s="363" t="str">
        <f>template_label_general_information_validation</f>
        <v>General Information</v>
      </c>
      <c r="C46" s="364"/>
    </row>
    <row r="47" spans="2:3" x14ac:dyDescent="0.3">
      <c r="B47" s="428" t="str">
        <f>template_label_c1_strategy_business_model_and_sustainability_related_initiatives_validation</f>
        <v>· C1 - Strategy: Business Model and Sustainability – Related Initiatives</v>
      </c>
      <c r="C47" s="366" t="str">
        <f>IF(COUNTIF('General Information'!H571:H577, template_label_missing_value) &gt; 0,
    template_label_missing_value,
    IF(COUNTIF('General Information'!H571:H577, template_label_ok) &gt; 0,
        template_label_ok,
        "-"))</f>
        <v>OK</v>
      </c>
    </row>
    <row r="48" spans="2:3" x14ac:dyDescent="0.3">
      <c r="B48" s="428" t="str">
        <f>template_label_c2_description_of_practices_policies_and_future_initiatives_for_transitioning_towards_a_more_sustainable_economy_validation</f>
        <v>· C2 - Description of practices, policies and future initiatives for transitioning towards a more sustainable economy</v>
      </c>
      <c r="C48" s="366" t="str">
        <f>IF(COUNTIF('General Information'!H565:H567, template_label_missing_value) &gt; 0,
    template_label_missing_value,
    IF(COUNTIF('General Information'!H565:H567, template_label_ok) &gt; 0,
        template_label_ok,
        "-"))</f>
        <v>OK</v>
      </c>
    </row>
    <row r="49" spans="2:3" x14ac:dyDescent="0.3">
      <c r="B49" s="370" t="str">
        <f>template_label_environmental_disclosures_validation</f>
        <v>Environmental Disclosures</v>
      </c>
      <c r="C49" s="364"/>
    </row>
    <row r="50" spans="2:3" x14ac:dyDescent="0.3">
      <c r="B50" s="430" t="str">
        <f>template_label_c3_ghg_reduction_targets_and_climate_transition_validation</f>
        <v>· C3 - GHG reduction targets and climate transition</v>
      </c>
      <c r="C50" s="366" t="str">
        <f>IF(COUNTIF(C51:C53, template_label_error_plus_missing_value_plus_value_inconsistency) &gt; 0, template_label_error_plus_missing_value_plus_value_inconsistency,
IF(COUNTIF(C51:C53, template_label_error_plus_value_inconsistency) &gt; 0, template_label_error_plus_value_inconsistency,
IF(COUNTIF(C51:C53, template_label_error_plus_missing_value) &gt; 0, template_label_error_plus_missing_value,
IF(COUNTIF(C51:C53, template_label_error) &gt; 0, template_label_error,
IF(COUNTIF(C51:C53, template_label_missing_value_plus_value_inconsistency) &gt; 0, template_label_missing_value_plus_value_inconsistency,
IF(COUNTIF(C51:C53, template_label_value_inconsistency) &gt; 0, template_label_value_inconsistency,
IF(COUNTIF(C51:C53, template_label_missing_value) &gt; 0, template_label_missing_value,
IF(AND(
       COUNTIFS(C51:C53, "&lt;&gt;OK", C51:C53, "&lt;&gt;-") = 0,
       COUNTIF(C51:C53, template_label_ok) &gt; 0
   ), template_label_ok,
IF(COUNTIF(C51:C53, "-") = ROWS(C51:C53), "-",
"")))))))))</f>
        <v>OK</v>
      </c>
    </row>
    <row r="51" spans="2:3" x14ac:dyDescent="0.3">
      <c r="B51" s="429" t="str">
        <f>template_label_ghg_reduction_targets_in_tc02e_validation</f>
        <v>GHG reduction targets (in tC02e)</v>
      </c>
      <c r="C51" s="366" t="str">
        <f>IF(AND('General Information'!E122 = "Option A (Basic Module only)",
        COUNTA('Environmental Disclosures'!G21:G24) = 0),
    "-",
IF(COUNTIF('Environmental Disclosures'!L52, template_label_missing_value) &gt; 0,
    template_label_missing_value,
IF(COUNTIF('Environmental Disclosures'!L52, template_label_ok) &gt; 0,
    template_label_ok,
"-")))</f>
        <v>OK</v>
      </c>
    </row>
    <row r="52" spans="2:3" x14ac:dyDescent="0.3">
      <c r="B52" s="429" t="str">
        <f>template_label_disclosure_of_list_of_main_actions_the_entity_seeks_in_order_to_achieve_its_targets_validation</f>
        <v>Disclosure of list of main actions the entity seeks in order  to achieve its targets</v>
      </c>
      <c r="C52" s="366" t="str">
        <f>IF(COUNTIF('Environmental Disclosures'!L52, template_label_missing_value) &gt; 0,
    template_label_missing_value,
    IF(COUNTIF('Environmental Disclosures'!L52, template_label_ok) &gt; 0,
        template_label_ok,
        "-"))</f>
        <v>OK</v>
      </c>
    </row>
    <row r="53" spans="2:3" x14ac:dyDescent="0.3">
      <c r="B53" s="429" t="str">
        <f>template_label_transition_plan_for_undertakings_operating_in_high_climate_impact_sectors_validation</f>
        <v>Transition plan for undertakings operating in high climate impact sectors</v>
      </c>
      <c r="C53" s="366" t="str">
        <f>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f>
        <v>OK</v>
      </c>
    </row>
    <row r="54" spans="2:3" x14ac:dyDescent="0.3">
      <c r="B54" s="365" t="str">
        <f>template_label_c4_climate_risks_validation</f>
        <v>· C4 - Climate risks</v>
      </c>
      <c r="C54" s="366" t="str">
        <f>IF(COUNTIF('Environmental Disclosures'!L540:L544, template_label_missing_value) &gt; 0,
    template_label_missing_value,
    IF(COUNTIF('Environmental Disclosures'!L540:L544, template_label_ok) &gt; 0,
        template_label_ok,
        "-"))</f>
        <v>OK</v>
      </c>
    </row>
    <row r="55" spans="2:3" x14ac:dyDescent="0.3">
      <c r="B55" s="370" t="str">
        <f>template_label_social_disclosures_validation</f>
        <v>Social Disclosures</v>
      </c>
      <c r="C55" s="364"/>
    </row>
    <row r="56" spans="2:3" x14ac:dyDescent="0.3">
      <c r="B56" s="365" t="str">
        <f>template_label_c5_additional_general_workforce_characteristics_validation</f>
        <v>· C5 - Additional (general) workforce characteristics</v>
      </c>
      <c r="C56" s="366" t="str">
        <f>IF(COUNTIF('Social Disclosures'!I165:I169, template_label_ok) &gt; 0,
    template_label_ok,
    "-")</f>
        <v>OK</v>
      </c>
    </row>
    <row r="57" spans="2:3" x14ac:dyDescent="0.3">
      <c r="B57" s="365" t="str">
        <f>template_label_c6_additional_own_workforce_information_human_rights_policies_and_processes_validation</f>
        <v>· C6 - Additional own workforce information - Human rights policies and processes</v>
      </c>
      <c r="C57" s="366" t="str">
        <f>IF(
AND(
COUNTIF('Social Disclosures'!I172:I181, template_label_missing_value) &gt; 0,
COUNTIF('Social Disclosures'!I172:I181, template_label_value_inconsistency) = 0,
COUNTIF('Social Disclosures'!I172:I181, template_label_ok) &gt;= 0
),
template_label_missing_value,
IF(
AND(
COUNTIF('Social Disclosures'!I172:I181, template_label_value_inconsistency) &gt; 0,
COUNTIF('Social Disclosures'!I172:I181, template_label_missing_value) = 0,
COUNTIF('Social Disclosures'!I172:I181, template_label_ok) &gt;= 0
),
template_label_value_inconsistency,
IF(
AND(
COUNTIF('Social Disclosures'!I172:I181, template_label_value_inconsistency) &gt; 0,
COUNTIF('Social Disclosures'!I172:I181, template_label_missing_value) &gt; 0,
COUNTIF('Social Disclosures'!I172:I181, template_label_ok) &gt;= 0
),
template_label_missing_value_plus_value_inconsistency,
IF(
AND(
COUNTIF('Social Disclosures'!I172:I181, template_label_value_inconsistency) = 0,
COUNTIF('Social Disclosures'!I172:I181, template_label_missing_value) = 0,
COUNTIF('Social Disclosures'!I172:I181, template_label_ok) &gt; 0
),
template_label_ok,
"-"
)
)
))</f>
        <v>OK</v>
      </c>
    </row>
    <row r="58" spans="2:3" x14ac:dyDescent="0.3">
      <c r="B58" s="367" t="str">
        <f>template_label_c7_severe_negative_human_rights_incidents_validation</f>
        <v>· C7 - Severe negative human rights incidents</v>
      </c>
      <c r="C58" s="372" t="str">
        <f>IF(
AND(
COUNTIF('Social Disclosures'!I184:I194, template_label_missing_value) &gt; 0,
COUNTIF('Social Disclosures'!I184:I194, template_label_value_inconsistency) = 0,
COUNTIF('Social Disclosures'!I184:I194, template_label_ok) &gt;= 0
),
template_label_missing_value,
IF(
AND(
COUNTIF('Social Disclosures'!I184:I194, template_label_value_inconsistency) &gt; 0,
COUNTIF('Social Disclosures'!I184:I194, template_label_missing_value) = 0,
COUNTIF('Social Disclosures'!I184:I194, template_label_ok) &gt;= 0
),
template_label_value_inconsistency,
IF(
AND(
COUNTIF('Social Disclosures'!I184:I194, template_label_value_inconsistency) &gt; 0,
COUNTIF('Social Disclosures'!I184:I194, template_label_missing_value) &gt; 0,
COUNTIF('Social Disclosures'!I184:I194, template_label_ok) &gt;= 0
),
template_label_missing_value_plus_value_inconsistency,
IF(
AND(
COUNTIF('Social Disclosures'!I184:I194, template_label_value_inconsistency) = 0,
COUNTIF('Social Disclosures'!I184:I194, template_label_missing_value) = 0,
COUNTIF('Social Disclosures'!I184:I194, template_label_ok) &gt; 0
),
template_label_ok,
"-"
)
)
))</f>
        <v>OK</v>
      </c>
    </row>
    <row r="59" spans="2:3" x14ac:dyDescent="0.3">
      <c r="B59" s="373" t="str">
        <f>template_label_governance_disclosures_validation</f>
        <v>Governance Disclosures</v>
      </c>
      <c r="C59" s="368"/>
    </row>
    <row r="60" spans="2:3" x14ac:dyDescent="0.3">
      <c r="B60" s="369" t="str">
        <f>template_label_c8_revenues_from_certain_sectors_and_exclusion_from_eu_reference_benchmarks_validation</f>
        <v>· C8 - Revenues from certain activities and exclusion from EU reference benchmarks</v>
      </c>
      <c r="C60" s="366" t="str">
        <f>IF(COUNTIF(C61:C62, template_label_error_plus_missing_value_plus_value_inconsistency) &gt; 0, template_label_error_plus_missing_value_plus_value_inconsistency,
IF(COUNTIF(C61:C62, template_label_error_plus_value_inconsistency) &gt; 0, template_label_error_plus_value_inconsistency,
IF(COUNTIF(C61:C62, template_label_error_plus_missing_value) &gt; 0, template_label_error_plus_missing_value,
IF(COUNTIF(C61:C62, template_label_error) &gt; 0, template_label_error,
IF(COUNTIF(C61:C62, template_label_missing_value_plus_value_inconsistency) &gt; 0, template_label_missing_value_plus_value_inconsistency,
IF(COUNTIF(C61:C62, template_label_value_inconsistency) &gt; 0, template_label_value_inconsistency,
IF(COUNTIF(C61:C62, template_label_missing_value) &gt; 0, template_label_missing_value,
IF(COUNTIF(C61:C62, template_label_ok) = ROWS(C61:C62), template_label_ok,
IF(COUNTIF(C61:C62, "-") = ROWS(C61:C62), "-",
template_label_ok)))))))))</f>
        <v>OK</v>
      </c>
    </row>
    <row r="61" spans="2:3" x14ac:dyDescent="0.3">
      <c r="B61" s="425" t="str">
        <f>template_label_revenues_from_certain_sectors_validation</f>
        <v>Revenues from certain activities</v>
      </c>
      <c r="C61" s="366" t="str">
        <f>IF(COUNTIF('Governance Disclosures'!I12:I18, template_label_value_inconsistency) &gt; 0,
    template_label_value_inconsistency,
    IF(COUNTIF('Governance Disclosures'!I12:I18, template_label_ok) &gt; 0,
        template_label_ok,
        "-"))</f>
        <v>-</v>
      </c>
    </row>
    <row r="62" spans="2:3" x14ac:dyDescent="0.3">
      <c r="B62" s="425" t="str">
        <f>template_label_exclusion_from_eu_reference_benchmarks_validation</f>
        <v>Exclusion from EU reference benchmarks</v>
      </c>
      <c r="C62" s="366" t="str">
        <f>IF(COUNTIF('Governance Disclosures'!I22:I26, template_label_missing_value) &gt; 0,
    template_label_missing_value,
    IF(COUNTIF('Governance Disclosures'!I22:I26, template_label_ok) &gt; 0,
        template_label_ok,
        "-"))</f>
        <v>OK</v>
      </c>
    </row>
    <row r="63" spans="2:3" x14ac:dyDescent="0.3">
      <c r="B63" s="431" t="str">
        <f>template_label_c9_gender_diversity_ratio_in_the_governance_body_validation</f>
        <v>· C9 - Gender diversity ratio in the governance body</v>
      </c>
      <c r="C63" s="372" t="str">
        <f>IF(COUNTIF('Governance Disclosures'!I31:I32, template_label_missing_value) &gt; 0,
    template_label_missing_value,
    IF(COUNTIF('Governance Disclosures'!I31:I32, template_label_ok) &gt; 0,
        template_label_ok,
        "-"))</f>
        <v>OK</v>
      </c>
    </row>
    <row r="64" spans="2:3" x14ac:dyDescent="0.3">
      <c r="B64" s="374" t="str">
        <f>template_label_additional_disclosures_validation</f>
        <v>Additional Disclosures</v>
      </c>
      <c r="C64" s="368"/>
    </row>
    <row r="65" spans="2:3" x14ac:dyDescent="0.3">
      <c r="B65" s="428" t="str">
        <f>template_label_disclosure_of_any_other_general_and_or_entity_specific_information_on_the_reporting_period_validation</f>
        <v>· Disclosure of any other general and/or entity specific information on the reporting period</v>
      </c>
      <c r="C65" s="372" t="str">
        <f>IF('General Information'!I581 = template_label_ok, template_label_ok, "")</f>
        <v/>
      </c>
    </row>
    <row r="66" spans="2:3" x14ac:dyDescent="0.3">
      <c r="B66" s="367" t="str">
        <f>template_label_disclosure_of_any_other_environmental_and_or_entity_specific_environmental_disclosures_validation</f>
        <v>· Disclosure of any other environmental and/or entity specific environmental disclosures</v>
      </c>
      <c r="C66" s="372" t="str">
        <f>IF('Environmental Disclosures'!M548 = template_label_ok, template_label_ok, "")</f>
        <v/>
      </c>
    </row>
    <row r="67" spans="2:3" x14ac:dyDescent="0.3">
      <c r="B67" s="367" t="str">
        <f>template_label_disclosure_of_any_other_social_and_or_entity_specific_social_disclosures_validation</f>
        <v>· Disclosure of any other social and/or entity specific social disclosures</v>
      </c>
      <c r="C67" s="372" t="str">
        <f>IF('Social Disclosures'!I200 = template_label_ok, template_label_ok, "")</f>
        <v/>
      </c>
    </row>
    <row r="68" spans="2:3" ht="15" thickBot="1" x14ac:dyDescent="0.35">
      <c r="B68" s="432" t="str">
        <f>template_label_disclosure_of_any_other_governance_and_or_entity_specific_governance_disclosures_validation</f>
        <v>· Disclosure of any other governance and/or entity specific governance disclosures</v>
      </c>
      <c r="C68" s="375" t="str">
        <f>IF('Governance Disclosures'!I38 = template_label_ok, template_label_ok, "")</f>
        <v/>
      </c>
    </row>
  </sheetData>
  <sheetProtection algorithmName="SHA-512" hashValue="HEwPngAFFNIgKnoo9OgRZtHn73mfTkNeXQF0RwYX3m2BC1aPVUCyI2cijAz4KxeVrGLZISkwvTIj/O0rADyItQ==" saltValue="8bPGFLd161ctQdoSXWqg9A==" spinCount="100000" sheet="1" formatColumns="0" formatRows="0"/>
  <conditionalFormatting sqref="B3">
    <cfRule type="expression" dxfId="351" priority="371">
      <formula>B$44="INCOMPLETE"</formula>
    </cfRule>
    <cfRule type="expression" dxfId="350" priority="372">
      <formula>B$44="COMPLETE"</formula>
    </cfRule>
  </conditionalFormatting>
  <conditionalFormatting sqref="C2">
    <cfRule type="expression" dxfId="349" priority="12">
      <formula>C$58="INCOMPLETE"</formula>
    </cfRule>
    <cfRule type="expression" dxfId="348" priority="13">
      <formula>C$58="COMPLETE"</formula>
    </cfRule>
  </conditionalFormatting>
  <conditionalFormatting sqref="C3">
    <cfRule type="expression" dxfId="347" priority="10">
      <formula>$C$3=template_label_incomplete</formula>
    </cfRule>
    <cfRule type="expression" dxfId="346" priority="11">
      <formula>$C$3=template_label_complete</formula>
    </cfRule>
  </conditionalFormatting>
  <conditionalFormatting sqref="C6:C8 C10:C45 C47:C68">
    <cfRule type="expression" dxfId="345" priority="1">
      <formula>$C6=template_label_value_inconsistency</formula>
    </cfRule>
    <cfRule type="expression" dxfId="344" priority="2">
      <formula>$C6=template_label_invalid_url</formula>
    </cfRule>
    <cfRule type="expression" dxfId="343" priority="3">
      <formula>$C6=template_label_error_plus_missing_value_plus_value_inconsistency</formula>
    </cfRule>
    <cfRule type="expression" dxfId="342" priority="4">
      <formula>$C6=template_label_error_plus_value_inconsistency</formula>
    </cfRule>
    <cfRule type="expression" dxfId="341" priority="5">
      <formula>$C6=template_label_error_plus_missing_value</formula>
    </cfRule>
    <cfRule type="expression" dxfId="340" priority="6">
      <formula>$C6=template_label_missing_value_plus_value_inconsistency</formula>
    </cfRule>
    <cfRule type="expression" dxfId="339" priority="7">
      <formula>$C6=template_label_missing_value</formula>
    </cfRule>
    <cfRule type="expression" dxfId="338" priority="8">
      <formula>$C6=template_label_error</formula>
    </cfRule>
    <cfRule type="expression" dxfId="337" priority="9">
      <formula>$C6=template_label_ok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1" location="template_b1_basis_for_preparation_and_other_undertakings_general_information" display="            Basis for Preparation and other undertaking's general information" xr:uid="{DCB9EB33-29ED-498C-82CC-F099A7297C4E}"/>
    <hyperlink ref="B12" location="template_b1_list_of_subsidiaries" display="             List of subsidiaries" xr:uid="{9EAA5EF6-131F-42F1-9145-55B580C93404}"/>
    <hyperlink ref="B13" location="template_b1_disclosure_of_sustainability_related_certifications_or_labels" display="             Disclosure of sustainability-related certification(s) or label(s)" xr:uid="{4D19F8C5-01A7-4A79-B8B9-BD32706D0E62}"/>
    <hyperlink ref="B14" location="template_b1_list_of_sites" display="             List of site(s)" xr:uid="{D243425C-ED64-484D-A378-BCE59FEA1CCA}"/>
    <hyperlink ref="B15" location="template_b2_practices_policies_and_future_initiatives_for_transitioning_towards_a_more_sustainable_economy" display="· B2 - Practices, policies and future initiatives for transitioning towards a more sustainable economy" xr:uid="{2BEF70DB-E383-4335-98C7-0AB1A331EF1C}"/>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 ref="B17" location="template_b2_cooperative_specific_disclosures" display="             Cooperative specific disclosures" xr:uid="{DD0201D3-4CEF-4426-A12D-90862DD79EFB}"/>
    <hyperlink ref="B47" location="template_c1_strategy_business_model_and_sustainability" display="· C1 - Strategy: Business Model and Sustainability – Related Initiatives" xr:uid="{A970C105-76A8-40CF-A869-573C4F419725}"/>
    <hyperlink ref="B48"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5" location="template_disclosure_of_any_other_general_and_or_entity_specific_information_on_the_reporting_period" display="· Disclosure of any other general and/or entity specific information on the reporting period" xr:uid="{737F7CD2-A98D-46EC-85E3-472AB0E79697}"/>
    <hyperlink ref="B49"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0" location="template_c3_GHG_reduction_targets_in_tC02e" display="· C3 - GHG reduction targets and climate transition" xr:uid="{848C6734-27F4-49E8-9FCC-08706070E8A6}"/>
    <hyperlink ref="B51" location="template_c3_GHG_reduction_targets_in_tC02e" display="              GHG reduction targets (in tC02e)" xr:uid="{03F78659-15D3-426B-904F-EB997820F373}"/>
    <hyperlink ref="B52" location="template_c3_disclosure_of_list_of_main_actions_the_entity_seeks_in_order_to_achieve_its_targets" display="              Disclosure of list of main actions the entity seeks in order  to achieve its targets" xr:uid="{7736370F-5B99-4C0B-90FC-4925E5CC7276}"/>
    <hyperlink ref="B53" location="template_c3_transition_plan_for_undertakings_operating_in_high_climate_impact_sectors" display="              Transition plan for undertakings operating in high climate impact sectors" xr:uid="{9B00468F-D916-42FC-9DB7-512FE564EB6B}"/>
    <hyperlink ref="B54" location="template_c4_climate_risks" display="· C4 - Climate risks" xr:uid="{9A4CE9A4-48DE-4DCC-AA6A-C83BB13ECA6E}"/>
    <hyperlink ref="B66" location="template_disclosure_of_any_other_environmental_and_or_entity_specific_enviromental_disclosures" display="· Disclosure of any other environmental and/or entity specific enviromental disclosures" xr:uid="{3B30C8FE-FF9E-4311-9E4E-4FDD869D911E}"/>
    <hyperlink ref="B55"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6" location="template_c5_additional_general_workforce_characteristics" display="· C5 - Additional (general) workforce characteristics" xr:uid="{12A6D13C-E762-49D9-B9D9-FF10B30E5074}"/>
    <hyperlink ref="B57" location="template_c6_additional_own_workforce_information_human_rights_policies_and_processes" display="· C6 - Additional own workforce information - Human rights policies and processes" xr:uid="{ADA01F7E-1E23-46D3-A6C5-180A4471A463}"/>
    <hyperlink ref="B58" location="template_c7_severe_negative_human_rights_incidents" display="· C7 - Severe negative human rights incidents" xr:uid="{94D3FF8D-39DA-47EF-8F8C-21118A7AC765}"/>
    <hyperlink ref="B67" location="template_disclosure_of_any_other_social_and_or_entity_specific_social_disclosures" display="· Disclosure of any other social and/or entity specific social disclosures" xr:uid="{C461AEC8-E547-4D3E-985E-464AE7DE0614}"/>
    <hyperlink ref="B59" location="'Governance Disclosures'!A1" display="Governance Disclosures" xr:uid="{DB065620-D288-425D-A3F6-B94563629CD2}"/>
    <hyperlink ref="B44" location="template_b11_convictions_and_fines_for_corruption_and_bribery" display="· B11 - Convictions and fines for corruption and bribery" xr:uid="{DCDB2FE8-D2A1-470C-AEE7-1A53DE3C6A56}"/>
    <hyperlink ref="B60" location="template_c8_revenues_from_certain_sectors" display="· C8 - Revenues from certain sectors and exclusion from EU reference benchmarks" xr:uid="{9A39A97B-59DF-4A64-9184-E8CE24890C97}"/>
    <hyperlink ref="B61" location="template_c8_revenues_from_certain_sectors" display="              Revenues from certain sectors" xr:uid="{C95EF8C3-FA9B-4CEE-8D33-44BBFD20DB8E}"/>
    <hyperlink ref="B62" location="template_c8_exclusion_from_EU_reference_benchmarks" display="              Exclusion from EU reference benchmarks" xr:uid="{686FE336-7658-4083-B1D8-2A0952B0A262}"/>
    <hyperlink ref="B63" location="template_c9_gender_diversity_ratio_in_the_governance_body" display="· C9 - Gender diversity ratio in the governance body" xr:uid="{8744655C-A8E1-41B4-9ACB-ED49B581199E}"/>
    <hyperlink ref="B68"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6" location="'General Information'!A1" display="General Information" xr:uid="{8D1A7217-DD9F-4D14-8E62-DF0CE7521CD6}"/>
    <hyperlink ref="B35" location="'Social Disclosures'!A1" display="Social Disclosures" xr:uid="{5005ADE5-99EC-42B4-8AAE-6D7FF266EFE1}"/>
    <hyperlink ref="B43" location="'Governance Disclosures'!A1" display="Governance Disclosures" xr:uid="{3A78DB22-3150-4E53-A3E3-AF5505C487EE}"/>
    <hyperlink ref="B18" location="'Environmental Disclosures'!A1" display="Environmental Disclosures" xr:uid="{7718B422-B5A6-477E-8388-A9804BDB4D4F}"/>
  </hyperlink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581"/>
  <sheetViews>
    <sheetView showGridLines="0" zoomScaleNormal="100" workbookViewId="0"/>
  </sheetViews>
  <sheetFormatPr defaultColWidth="8.88671875" defaultRowHeight="14.4" outlineLevelRow="2" x14ac:dyDescent="0.3"/>
  <cols>
    <col min="1" max="2" width="10" bestFit="1" customWidth="1"/>
    <col min="3" max="3" width="54.88671875" customWidth="1"/>
    <col min="4" max="4" width="56.33203125" customWidth="1"/>
    <col min="5" max="5" width="41.33203125" customWidth="1"/>
    <col min="6" max="6" width="23.6640625" style="2" bestFit="1" customWidth="1"/>
    <col min="7" max="7" width="13.5546875" bestFit="1" customWidth="1"/>
    <col min="8" max="8" width="91.6640625" customWidth="1"/>
    <col min="9" max="9" width="13.33203125" bestFit="1" customWidth="1"/>
    <col min="10" max="10" width="25.6640625" bestFit="1" customWidth="1"/>
    <col min="11" max="11" width="43.5546875" bestFit="1" customWidth="1"/>
    <col min="12" max="12" width="11" customWidth="1"/>
    <col min="13" max="13" width="8.6640625" customWidth="1"/>
    <col min="14" max="14" width="24" customWidth="1"/>
    <col min="15" max="15" width="15.5546875" customWidth="1"/>
    <col min="16" max="16" width="58" customWidth="1"/>
    <col min="17" max="17" width="34.5546875" customWidth="1"/>
    <col min="18" max="18" width="25" customWidth="1"/>
  </cols>
  <sheetData>
    <row r="1" spans="1:11" ht="43.8" thickBot="1" x14ac:dyDescent="0.35">
      <c r="A1" s="386" t="str">
        <f>template_label_paragraph_reference</f>
        <v>Paragraph Reference</v>
      </c>
      <c r="B1" s="386" t="str">
        <f>template_label_paragraph_guidance_reference</f>
        <v>Paragraph Guidance Reference</v>
      </c>
    </row>
    <row r="2" spans="1:11" ht="14.4" customHeight="1" x14ac:dyDescent="0.3">
      <c r="A2" s="88"/>
      <c r="B2" s="88"/>
      <c r="C2" s="641" t="str">
        <f>template_label_information_on_the_report_necessary_for_xbrl &amp; " " &amp; template_label_always_to_be_reported</f>
        <v>Information on the report necessary for  XBRL [Always to be reported]</v>
      </c>
      <c r="D2" s="642"/>
      <c r="E2" s="643"/>
    </row>
    <row r="3" spans="1:11" ht="14.4" customHeight="1" x14ac:dyDescent="0.3">
      <c r="A3" s="88"/>
      <c r="B3" s="88"/>
      <c r="C3" s="124" t="str">
        <f>template_label_name_of_the_reporting_entity</f>
        <v>Name of the reporting entity</v>
      </c>
      <c r="D3" s="654" t="s">
        <v>9541</v>
      </c>
      <c r="E3" s="655"/>
      <c r="F3" s="11" t="str">
        <f>IF(D3 = "", template_label_missing_value, template_label_ok)</f>
        <v>OK</v>
      </c>
    </row>
    <row r="4" spans="1:11" ht="14.4" customHeight="1" x14ac:dyDescent="0.3">
      <c r="A4" s="88"/>
      <c r="B4" s="88"/>
      <c r="C4" s="124" t="str">
        <f>template_label_identifier_of_the_reporting_entity</f>
        <v>Identifier of the reporting entity (select and specify on the right)</v>
      </c>
      <c r="D4" s="385" t="s">
        <v>3680</v>
      </c>
      <c r="E4" s="56" t="s">
        <v>9542</v>
      </c>
      <c r="F4" s="11" t="str">
        <f>IF(OR(D4 = "", E4 = ""), template_label_missing_value, template_label_ok)</f>
        <v>OK</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1" ht="14.4" customHeight="1" thickBot="1" x14ac:dyDescent="0.35">
      <c r="C5" s="5" t="str">
        <f>template_label_currency_of_the_monetary_values_in_the_report</f>
        <v>Currency of the monetary values in the report</v>
      </c>
      <c r="D5" s="656" t="s">
        <v>3825</v>
      </c>
      <c r="E5" s="657"/>
      <c r="F5" s="11" t="str">
        <f>IF(D5 = "", template_label_missing_value, template_label_ok)</f>
        <v>OK</v>
      </c>
      <c r="H5" s="52"/>
    </row>
    <row r="6" spans="1:11" ht="14.4" customHeight="1" x14ac:dyDescent="0.3">
      <c r="C6" s="245" t="str">
        <f>template_label_starting_year</f>
        <v>Starting year</v>
      </c>
      <c r="D6" s="617">
        <v>2024</v>
      </c>
      <c r="E6" s="618"/>
      <c r="F6" s="568"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OK</v>
      </c>
      <c r="G6" s="552" t="str">
        <f>template_label_date_warning</f>
        <v>ℹ️ If VALUE INCONSISTENCY message appears on the right, please ensure that the reporting period end date is greater than the reporting period start date.</v>
      </c>
      <c r="H6" s="552"/>
      <c r="I6" s="552"/>
      <c r="J6" s="552"/>
      <c r="K6" s="552"/>
    </row>
    <row r="7" spans="1:11" ht="14.4" customHeight="1" x14ac:dyDescent="0.3">
      <c r="C7" s="140" t="str">
        <f>template_label_starting_month</f>
        <v>Starting month</v>
      </c>
      <c r="D7" s="658">
        <v>1</v>
      </c>
      <c r="E7" s="659"/>
      <c r="F7" s="568"/>
      <c r="G7" s="552"/>
      <c r="H7" s="552"/>
      <c r="I7" s="552"/>
      <c r="J7" s="552"/>
      <c r="K7" s="552"/>
    </row>
    <row r="8" spans="1:11" ht="14.4" customHeight="1" x14ac:dyDescent="0.3">
      <c r="C8" s="140" t="str">
        <f>template_label_starting_day</f>
        <v>Starting day</v>
      </c>
      <c r="D8" s="569">
        <v>1</v>
      </c>
      <c r="E8" s="570"/>
      <c r="F8" s="568"/>
      <c r="G8" s="552"/>
      <c r="H8" s="552"/>
      <c r="I8" s="552"/>
      <c r="J8" s="552"/>
      <c r="K8" s="552"/>
    </row>
    <row r="9" spans="1:11" ht="14.4" customHeight="1" thickBot="1" x14ac:dyDescent="0.35">
      <c r="C9" s="121" t="str">
        <f>template_label_reporting_period_start_date</f>
        <v>Reporting period start date (yyyy-mm-dd)</v>
      </c>
      <c r="D9" s="615" t="str">
        <f>IF(OR(ISBLANK(D6), ISBLANK(D7), ISBLANK(D8)), "-", D6 &amp; "-" &amp; TEXT(D7, "00") &amp; "-" &amp; TEXT(D8, "00"))</f>
        <v>2024-01-01</v>
      </c>
      <c r="E9" s="616"/>
      <c r="F9"/>
      <c r="H9" s="52"/>
    </row>
    <row r="10" spans="1:11" ht="14.4" customHeight="1" x14ac:dyDescent="0.3">
      <c r="C10" s="245" t="str">
        <f>template_label_ending_year</f>
        <v>Ending year</v>
      </c>
      <c r="D10" s="617">
        <v>2024</v>
      </c>
      <c r="E10" s="618"/>
      <c r="F10" s="568"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OK</v>
      </c>
      <c r="G10" s="552" t="str">
        <f>template_label_date_warning</f>
        <v>ℹ️ If VALUE INCONSISTENCY message appears on the right, please ensure that the reporting period end date is greater than the reporting period start date.</v>
      </c>
      <c r="H10" s="552"/>
      <c r="I10" s="552"/>
      <c r="J10" s="552"/>
      <c r="K10" s="552"/>
    </row>
    <row r="11" spans="1:11" ht="14.4" customHeight="1" x14ac:dyDescent="0.3">
      <c r="C11" s="140" t="str">
        <f>template_label_ending_month</f>
        <v>Ending month</v>
      </c>
      <c r="D11" s="619">
        <v>12</v>
      </c>
      <c r="E11" s="620"/>
      <c r="F11" s="568"/>
      <c r="G11" s="552"/>
      <c r="H11" s="552"/>
      <c r="I11" s="552"/>
      <c r="J11" s="552"/>
      <c r="K11" s="552"/>
    </row>
    <row r="12" spans="1:11" ht="14.4" customHeight="1" x14ac:dyDescent="0.3">
      <c r="C12" s="140" t="s">
        <v>3060</v>
      </c>
      <c r="D12" s="621">
        <v>31</v>
      </c>
      <c r="E12" s="622"/>
      <c r="F12" s="568"/>
      <c r="G12" s="552"/>
      <c r="H12" s="552"/>
      <c r="I12" s="552"/>
      <c r="J12" s="552"/>
      <c r="K12" s="552"/>
    </row>
    <row r="13" spans="1:11" ht="14.4" customHeight="1" thickBot="1" x14ac:dyDescent="0.35">
      <c r="A13" s="88"/>
      <c r="B13" s="88"/>
      <c r="C13" s="121" t="str">
        <f>template_label_reporting_period_end_date</f>
        <v>Reporting period end date  (yyyy-mm-dd)</v>
      </c>
      <c r="D13" s="615" t="str">
        <f>IF(OR(ISBLANK(D10), ISBLANK(D11), ISBLANK(D12)), "-", D10 &amp; "-" &amp; TEXT(D11, "00") &amp; "-" &amp; TEXT(D12, "00"))</f>
        <v>2024-12-31</v>
      </c>
      <c r="E13" s="616"/>
      <c r="F13" s="11"/>
    </row>
    <row r="14" spans="1:11" x14ac:dyDescent="0.3">
      <c r="A14" s="88"/>
      <c r="B14" s="88"/>
      <c r="C14" s="89"/>
      <c r="D14" s="89"/>
      <c r="E14" s="90"/>
      <c r="F14" s="11"/>
    </row>
    <row r="15" spans="1:11" ht="15" customHeight="1" thickBot="1" x14ac:dyDescent="0.35">
      <c r="A15" s="88"/>
      <c r="B15" s="88"/>
      <c r="E15" s="12"/>
    </row>
    <row r="16" spans="1:11" x14ac:dyDescent="0.3">
      <c r="A16" s="91"/>
      <c r="B16" s="88"/>
      <c r="C16" s="646" t="str">
        <f>template_label_information_on_previous_reporting_period</f>
        <v>Information on previous reporting period</v>
      </c>
      <c r="D16" s="647"/>
      <c r="E16" s="648"/>
    </row>
    <row r="17" spans="1:7" x14ac:dyDescent="0.3">
      <c r="A17" s="91"/>
      <c r="B17" s="88"/>
      <c r="C17" s="651">
        <v>16</v>
      </c>
      <c r="D17" s="652"/>
      <c r="E17" s="653"/>
      <c r="F17" s="246"/>
    </row>
    <row r="18" spans="1:7" ht="14.4" customHeight="1" x14ac:dyDescent="0.3">
      <c r="C18" s="649" t="str">
        <f>template_label_disclosures_from_the_previous_reporting_period_that_remain_unchanged</f>
        <v>This report contains disclosures from the previous reporting period that remain unchanged</v>
      </c>
      <c r="D18" s="650"/>
      <c r="E18" s="57" t="b">
        <v>0</v>
      </c>
      <c r="F18" s="11" t="str">
        <f>IF(E18 = FALSE, "", template_label_ok)</f>
        <v/>
      </c>
    </row>
    <row r="19" spans="1:7" ht="14.4" customHeight="1" x14ac:dyDescent="0.3">
      <c r="C19" s="626" t="str">
        <f>template_label_disclosures_for_which_no_changes_are_reported_compared_to_the_previous_period_reporting</f>
        <v>List of disclosures for which no changes are reported compared to the previous period reporting</v>
      </c>
      <c r="D19" s="627"/>
      <c r="E19" s="58"/>
      <c r="F19" s="11" t="str">
        <f>IF(AND(E18 = FALSE, E19 = ""), "",
IF(AND(E18 = FALSE, E19 &lt;&gt; ""), "",
IF(AND(E18 = TRUE, E19 = ""), template_label_missing_value,
IF(AND(E18 = TRUE, E19 &lt;&gt; "", COUNTIF(E19:E118, E19) = COUNTA(E19:E118), COUNTA(E19:E118) &gt; 1), template_label_value_inconsistency,
template_label_ok))))</f>
        <v/>
      </c>
      <c r="G19" t="str">
        <f>template_label_additional_rows_warning</f>
        <v>ℹ️  Lists can be expanded using the little [+] button on the left.  If the number of rows is not sufficient, those can be added by right clicking the second row and selecting "Insert row".</v>
      </c>
    </row>
    <row r="20" spans="1:7" ht="14.4" customHeight="1" x14ac:dyDescent="0.3">
      <c r="C20" s="628"/>
      <c r="D20" s="629"/>
      <c r="E20" s="59"/>
      <c r="F20" s="11" t="str">
        <f t="shared" ref="F20:F27" si="0">IF($E$18 = FALSE, "",
IF(E20 = "", "",
IF(COUNTIF($E$19:$E$118, E20) &gt; 1, template_label_value_inconsistency, template_label_ok)))</f>
        <v/>
      </c>
    </row>
    <row r="21" spans="1:7" ht="14.4" customHeight="1" x14ac:dyDescent="0.3">
      <c r="C21" s="628"/>
      <c r="D21" s="629"/>
      <c r="E21" s="59"/>
      <c r="F21" s="11" t="str">
        <f t="shared" si="0"/>
        <v/>
      </c>
    </row>
    <row r="22" spans="1:7" ht="14.4" hidden="1" customHeight="1" outlineLevel="2" x14ac:dyDescent="0.3">
      <c r="C22" s="628"/>
      <c r="D22" s="629"/>
      <c r="E22" s="59"/>
      <c r="F22" s="11" t="str">
        <f t="shared" si="0"/>
        <v/>
      </c>
    </row>
    <row r="23" spans="1:7" ht="14.4" hidden="1" customHeight="1" outlineLevel="2" x14ac:dyDescent="0.3">
      <c r="C23" s="628"/>
      <c r="D23" s="629"/>
      <c r="E23" s="59"/>
      <c r="F23" s="11" t="str">
        <f t="shared" si="0"/>
        <v/>
      </c>
    </row>
    <row r="24" spans="1:7" ht="14.4" hidden="1" customHeight="1" outlineLevel="2" x14ac:dyDescent="0.3">
      <c r="C24" s="628"/>
      <c r="D24" s="629"/>
      <c r="E24" s="59"/>
      <c r="F24" s="11" t="str">
        <f t="shared" si="0"/>
        <v/>
      </c>
    </row>
    <row r="25" spans="1:7" ht="14.4" hidden="1" customHeight="1" outlineLevel="2" x14ac:dyDescent="0.3">
      <c r="C25" s="628"/>
      <c r="D25" s="629"/>
      <c r="E25" s="59"/>
      <c r="F25" s="11" t="str">
        <f t="shared" si="0"/>
        <v/>
      </c>
    </row>
    <row r="26" spans="1:7" ht="14.4" hidden="1" customHeight="1" outlineLevel="2" x14ac:dyDescent="0.3">
      <c r="C26" s="628"/>
      <c r="D26" s="629"/>
      <c r="E26" s="59"/>
      <c r="F26" s="11" t="str">
        <f t="shared" si="0"/>
        <v/>
      </c>
    </row>
    <row r="27" spans="1:7" ht="14.4" hidden="1" customHeight="1" outlineLevel="2" x14ac:dyDescent="0.3">
      <c r="C27" s="628"/>
      <c r="D27" s="629"/>
      <c r="E27" s="59"/>
      <c r="F27" s="11" t="str">
        <f t="shared" si="0"/>
        <v/>
      </c>
    </row>
    <row r="28" spans="1:7" ht="14.4" hidden="1" customHeight="1" outlineLevel="2" x14ac:dyDescent="0.3">
      <c r="C28" s="628"/>
      <c r="D28" s="629"/>
      <c r="E28" s="59"/>
      <c r="F28" s="11"/>
    </row>
    <row r="29" spans="1:7" ht="14.4" hidden="1" customHeight="1" outlineLevel="2" x14ac:dyDescent="0.3">
      <c r="C29" s="628"/>
      <c r="D29" s="629"/>
      <c r="E29" s="59"/>
      <c r="F29" s="11"/>
    </row>
    <row r="30" spans="1:7" ht="14.4" hidden="1" customHeight="1" outlineLevel="2" x14ac:dyDescent="0.3">
      <c r="C30" s="628"/>
      <c r="D30" s="629"/>
      <c r="E30" s="59"/>
      <c r="F30" s="11"/>
    </row>
    <row r="31" spans="1:7" ht="14.4" hidden="1" customHeight="1" outlineLevel="2" x14ac:dyDescent="0.3">
      <c r="C31" s="628"/>
      <c r="D31" s="629"/>
      <c r="E31" s="59"/>
      <c r="F31" s="11"/>
    </row>
    <row r="32" spans="1:7" ht="14.4" hidden="1" customHeight="1" outlineLevel="2" x14ac:dyDescent="0.3">
      <c r="C32" s="628"/>
      <c r="D32" s="629"/>
      <c r="E32" s="59"/>
      <c r="F32" s="11"/>
    </row>
    <row r="33" spans="3:6" ht="14.4" hidden="1" customHeight="1" outlineLevel="2" x14ac:dyDescent="0.3">
      <c r="C33" s="628"/>
      <c r="D33" s="629"/>
      <c r="E33" s="59"/>
      <c r="F33" s="11"/>
    </row>
    <row r="34" spans="3:6" ht="14.4" hidden="1" customHeight="1" outlineLevel="2" x14ac:dyDescent="0.3">
      <c r="C34" s="628"/>
      <c r="D34" s="629"/>
      <c r="E34" s="59"/>
      <c r="F34" s="11"/>
    </row>
    <row r="35" spans="3:6" ht="14.4" hidden="1" customHeight="1" outlineLevel="2" x14ac:dyDescent="0.3">
      <c r="C35" s="628"/>
      <c r="D35" s="629"/>
      <c r="E35" s="59"/>
      <c r="F35" s="11"/>
    </row>
    <row r="36" spans="3:6" ht="14.4" hidden="1" customHeight="1" outlineLevel="2" x14ac:dyDescent="0.3">
      <c r="C36" s="628"/>
      <c r="D36" s="629"/>
      <c r="E36" s="59"/>
      <c r="F36" s="11"/>
    </row>
    <row r="37" spans="3:6" ht="14.4" hidden="1" customHeight="1" outlineLevel="2" x14ac:dyDescent="0.3">
      <c r="C37" s="628"/>
      <c r="D37" s="629"/>
      <c r="E37" s="59"/>
      <c r="F37" s="11"/>
    </row>
    <row r="38" spans="3:6" ht="14.4" hidden="1" customHeight="1" outlineLevel="2" x14ac:dyDescent="0.3">
      <c r="C38" s="628"/>
      <c r="D38" s="629"/>
      <c r="E38" s="59"/>
      <c r="F38" s="11"/>
    </row>
    <row r="39" spans="3:6" ht="14.4" hidden="1" customHeight="1" outlineLevel="2" x14ac:dyDescent="0.3">
      <c r="C39" s="628"/>
      <c r="D39" s="629"/>
      <c r="E39" s="59"/>
      <c r="F39" s="11"/>
    </row>
    <row r="40" spans="3:6" ht="14.4" hidden="1" customHeight="1" outlineLevel="2" x14ac:dyDescent="0.3">
      <c r="C40" s="628"/>
      <c r="D40" s="629"/>
      <c r="E40" s="59"/>
      <c r="F40" s="11"/>
    </row>
    <row r="41" spans="3:6" ht="14.4" hidden="1" customHeight="1" outlineLevel="2" x14ac:dyDescent="0.3">
      <c r="C41" s="628"/>
      <c r="D41" s="629"/>
      <c r="E41" s="59"/>
      <c r="F41" s="11"/>
    </row>
    <row r="42" spans="3:6" ht="14.4" hidden="1" customHeight="1" outlineLevel="2" x14ac:dyDescent="0.3">
      <c r="C42" s="628"/>
      <c r="D42" s="629"/>
      <c r="E42" s="59"/>
      <c r="F42" s="11"/>
    </row>
    <row r="43" spans="3:6" ht="14.4" hidden="1" customHeight="1" outlineLevel="2" x14ac:dyDescent="0.3">
      <c r="C43" s="628"/>
      <c r="D43" s="629"/>
      <c r="E43" s="59"/>
      <c r="F43" s="11"/>
    </row>
    <row r="44" spans="3:6" ht="14.4" hidden="1" customHeight="1" outlineLevel="2" x14ac:dyDescent="0.3">
      <c r="C44" s="628"/>
      <c r="D44" s="629"/>
      <c r="E44" s="59"/>
      <c r="F44" s="11"/>
    </row>
    <row r="45" spans="3:6" ht="14.4" hidden="1" customHeight="1" outlineLevel="2" x14ac:dyDescent="0.3">
      <c r="C45" s="628"/>
      <c r="D45" s="629"/>
      <c r="E45" s="59"/>
      <c r="F45" s="11"/>
    </row>
    <row r="46" spans="3:6" ht="14.4" hidden="1" customHeight="1" outlineLevel="2" x14ac:dyDescent="0.3">
      <c r="C46" s="628"/>
      <c r="D46" s="629"/>
      <c r="E46" s="59"/>
      <c r="F46" s="11"/>
    </row>
    <row r="47" spans="3:6" ht="14.4" hidden="1" customHeight="1" outlineLevel="2" x14ac:dyDescent="0.3">
      <c r="C47" s="628"/>
      <c r="D47" s="629"/>
      <c r="E47" s="59"/>
      <c r="F47" s="11"/>
    </row>
    <row r="48" spans="3:6" ht="14.4" hidden="1" customHeight="1" outlineLevel="2" x14ac:dyDescent="0.3">
      <c r="C48" s="628"/>
      <c r="D48" s="629"/>
      <c r="E48" s="59"/>
      <c r="F48" s="11"/>
    </row>
    <row r="49" spans="3:6" ht="14.4" hidden="1" customHeight="1" outlineLevel="2" x14ac:dyDescent="0.3">
      <c r="C49" s="628"/>
      <c r="D49" s="629"/>
      <c r="E49" s="59"/>
      <c r="F49" s="11"/>
    </row>
    <row r="50" spans="3:6" ht="14.4" hidden="1" customHeight="1" outlineLevel="2" x14ac:dyDescent="0.3">
      <c r="C50" s="628"/>
      <c r="D50" s="629"/>
      <c r="E50" s="59"/>
      <c r="F50" s="11"/>
    </row>
    <row r="51" spans="3:6" ht="14.4" hidden="1" customHeight="1" outlineLevel="2" x14ac:dyDescent="0.3">
      <c r="C51" s="628"/>
      <c r="D51" s="629"/>
      <c r="E51" s="59"/>
      <c r="F51" s="11"/>
    </row>
    <row r="52" spans="3:6" ht="14.4" hidden="1" customHeight="1" outlineLevel="2" x14ac:dyDescent="0.3">
      <c r="C52" s="628"/>
      <c r="D52" s="629"/>
      <c r="E52" s="59"/>
      <c r="F52" s="11"/>
    </row>
    <row r="53" spans="3:6" ht="14.4" hidden="1" customHeight="1" outlineLevel="2" x14ac:dyDescent="0.3">
      <c r="C53" s="628"/>
      <c r="D53" s="629"/>
      <c r="E53" s="59"/>
      <c r="F53" s="11"/>
    </row>
    <row r="54" spans="3:6" ht="14.4" hidden="1" customHeight="1" outlineLevel="2" x14ac:dyDescent="0.3">
      <c r="C54" s="628"/>
      <c r="D54" s="629"/>
      <c r="E54" s="59"/>
      <c r="F54" s="11"/>
    </row>
    <row r="55" spans="3:6" ht="14.4" hidden="1" customHeight="1" outlineLevel="2" x14ac:dyDescent="0.3">
      <c r="C55" s="628"/>
      <c r="D55" s="629"/>
      <c r="E55" s="59"/>
      <c r="F55" s="11"/>
    </row>
    <row r="56" spans="3:6" ht="14.4" hidden="1" customHeight="1" outlineLevel="2" x14ac:dyDescent="0.3">
      <c r="C56" s="628"/>
      <c r="D56" s="629"/>
      <c r="E56" s="59"/>
      <c r="F56" s="11"/>
    </row>
    <row r="57" spans="3:6" ht="14.4" hidden="1" customHeight="1" outlineLevel="2" x14ac:dyDescent="0.3">
      <c r="C57" s="628"/>
      <c r="D57" s="629"/>
      <c r="E57" s="59"/>
      <c r="F57" s="11"/>
    </row>
    <row r="58" spans="3:6" ht="14.4" hidden="1" customHeight="1" outlineLevel="2" x14ac:dyDescent="0.3">
      <c r="C58" s="628"/>
      <c r="D58" s="629"/>
      <c r="E58" s="59"/>
      <c r="F58" s="11"/>
    </row>
    <row r="59" spans="3:6" ht="14.4" hidden="1" customHeight="1" outlineLevel="2" x14ac:dyDescent="0.3">
      <c r="C59" s="628"/>
      <c r="D59" s="629"/>
      <c r="E59" s="59"/>
      <c r="F59" s="11"/>
    </row>
    <row r="60" spans="3:6" ht="14.4" hidden="1" customHeight="1" outlineLevel="2" x14ac:dyDescent="0.3">
      <c r="C60" s="628"/>
      <c r="D60" s="629"/>
      <c r="E60" s="59"/>
      <c r="F60" s="11"/>
    </row>
    <row r="61" spans="3:6" ht="14.4" hidden="1" customHeight="1" outlineLevel="2" x14ac:dyDescent="0.3">
      <c r="C61" s="628"/>
      <c r="D61" s="629"/>
      <c r="E61" s="59"/>
      <c r="F61" s="11"/>
    </row>
    <row r="62" spans="3:6" ht="14.4" hidden="1" customHeight="1" outlineLevel="2" x14ac:dyDescent="0.3">
      <c r="C62" s="628"/>
      <c r="D62" s="629"/>
      <c r="E62" s="59"/>
      <c r="F62" s="11"/>
    </row>
    <row r="63" spans="3:6" ht="14.4" hidden="1" customHeight="1" outlineLevel="2" x14ac:dyDescent="0.3">
      <c r="C63" s="628"/>
      <c r="D63" s="629"/>
      <c r="E63" s="59"/>
      <c r="F63" s="11"/>
    </row>
    <row r="64" spans="3:6" ht="14.4" hidden="1" customHeight="1" outlineLevel="2" x14ac:dyDescent="0.3">
      <c r="C64" s="628"/>
      <c r="D64" s="629"/>
      <c r="E64" s="59"/>
      <c r="F64" s="11"/>
    </row>
    <row r="65" spans="3:6" ht="14.4" hidden="1" customHeight="1" outlineLevel="2" x14ac:dyDescent="0.3">
      <c r="C65" s="628"/>
      <c r="D65" s="629"/>
      <c r="E65" s="59"/>
      <c r="F65" s="11"/>
    </row>
    <row r="66" spans="3:6" ht="14.4" hidden="1" customHeight="1" outlineLevel="2" x14ac:dyDescent="0.3">
      <c r="C66" s="628"/>
      <c r="D66" s="629"/>
      <c r="E66" s="59"/>
      <c r="F66" s="11"/>
    </row>
    <row r="67" spans="3:6" ht="14.4" hidden="1" customHeight="1" outlineLevel="2" x14ac:dyDescent="0.3">
      <c r="C67" s="628"/>
      <c r="D67" s="629"/>
      <c r="E67" s="59"/>
      <c r="F67" s="11"/>
    </row>
    <row r="68" spans="3:6" ht="14.4" hidden="1" customHeight="1" outlineLevel="2" x14ac:dyDescent="0.3">
      <c r="C68" s="628"/>
      <c r="D68" s="629"/>
      <c r="E68" s="59"/>
      <c r="F68" s="11"/>
    </row>
    <row r="69" spans="3:6" ht="14.4" hidden="1" customHeight="1" outlineLevel="2" x14ac:dyDescent="0.3">
      <c r="C69" s="628"/>
      <c r="D69" s="629"/>
      <c r="E69" s="59"/>
      <c r="F69" s="11"/>
    </row>
    <row r="70" spans="3:6" ht="14.4" hidden="1" customHeight="1" outlineLevel="2" x14ac:dyDescent="0.3">
      <c r="C70" s="628"/>
      <c r="D70" s="629"/>
      <c r="E70" s="59"/>
      <c r="F70" s="11"/>
    </row>
    <row r="71" spans="3:6" ht="14.4" hidden="1" customHeight="1" outlineLevel="2" x14ac:dyDescent="0.3">
      <c r="C71" s="628"/>
      <c r="D71" s="629"/>
      <c r="E71" s="59"/>
      <c r="F71" s="11"/>
    </row>
    <row r="72" spans="3:6" ht="14.4" hidden="1" customHeight="1" outlineLevel="2" x14ac:dyDescent="0.3">
      <c r="C72" s="628"/>
      <c r="D72" s="629"/>
      <c r="E72" s="59"/>
      <c r="F72" s="11"/>
    </row>
    <row r="73" spans="3:6" ht="14.4" hidden="1" customHeight="1" outlineLevel="2" x14ac:dyDescent="0.3">
      <c r="C73" s="628"/>
      <c r="D73" s="629"/>
      <c r="E73" s="59"/>
      <c r="F73" s="11"/>
    </row>
    <row r="74" spans="3:6" ht="14.4" hidden="1" customHeight="1" outlineLevel="2" x14ac:dyDescent="0.3">
      <c r="C74" s="628"/>
      <c r="D74" s="629"/>
      <c r="E74" s="59"/>
      <c r="F74" s="11"/>
    </row>
    <row r="75" spans="3:6" ht="14.4" hidden="1" customHeight="1" outlineLevel="2" x14ac:dyDescent="0.3">
      <c r="C75" s="628"/>
      <c r="D75" s="629"/>
      <c r="E75" s="59"/>
      <c r="F75" s="11"/>
    </row>
    <row r="76" spans="3:6" ht="14.4" hidden="1" customHeight="1" outlineLevel="2" x14ac:dyDescent="0.3">
      <c r="C76" s="628"/>
      <c r="D76" s="629"/>
      <c r="E76" s="59"/>
      <c r="F76" s="11"/>
    </row>
    <row r="77" spans="3:6" ht="14.4" hidden="1" customHeight="1" outlineLevel="2" x14ac:dyDescent="0.3">
      <c r="C77" s="628"/>
      <c r="D77" s="629"/>
      <c r="E77" s="59"/>
      <c r="F77" s="11"/>
    </row>
    <row r="78" spans="3:6" ht="14.4" hidden="1" customHeight="1" outlineLevel="2" x14ac:dyDescent="0.3">
      <c r="C78" s="628"/>
      <c r="D78" s="629"/>
      <c r="E78" s="59"/>
      <c r="F78" s="11"/>
    </row>
    <row r="79" spans="3:6" ht="14.4" hidden="1" customHeight="1" outlineLevel="2" x14ac:dyDescent="0.3">
      <c r="C79" s="628"/>
      <c r="D79" s="629"/>
      <c r="E79" s="59"/>
      <c r="F79" s="11"/>
    </row>
    <row r="80" spans="3:6" ht="14.4" hidden="1" customHeight="1" outlineLevel="2" x14ac:dyDescent="0.3">
      <c r="C80" s="628"/>
      <c r="D80" s="629"/>
      <c r="E80" s="59"/>
      <c r="F80" s="11"/>
    </row>
    <row r="81" spans="3:6" ht="14.4" hidden="1" customHeight="1" outlineLevel="2" x14ac:dyDescent="0.3">
      <c r="C81" s="628"/>
      <c r="D81" s="629"/>
      <c r="E81" s="59"/>
      <c r="F81" s="11"/>
    </row>
    <row r="82" spans="3:6" ht="14.4" hidden="1" customHeight="1" outlineLevel="2" x14ac:dyDescent="0.3">
      <c r="C82" s="628"/>
      <c r="D82" s="629"/>
      <c r="E82" s="59"/>
      <c r="F82" s="11"/>
    </row>
    <row r="83" spans="3:6" ht="14.4" hidden="1" customHeight="1" outlineLevel="2" x14ac:dyDescent="0.3">
      <c r="C83" s="628"/>
      <c r="D83" s="629"/>
      <c r="E83" s="59"/>
      <c r="F83" s="11"/>
    </row>
    <row r="84" spans="3:6" ht="14.4" hidden="1" customHeight="1" outlineLevel="2" x14ac:dyDescent="0.3">
      <c r="C84" s="628"/>
      <c r="D84" s="629"/>
      <c r="E84" s="59"/>
      <c r="F84" s="11"/>
    </row>
    <row r="85" spans="3:6" ht="14.4" hidden="1" customHeight="1" outlineLevel="2" x14ac:dyDescent="0.3">
      <c r="C85" s="628"/>
      <c r="D85" s="629"/>
      <c r="E85" s="59"/>
      <c r="F85" s="11"/>
    </row>
    <row r="86" spans="3:6" ht="14.4" hidden="1" customHeight="1" outlineLevel="2" x14ac:dyDescent="0.3">
      <c r="C86" s="628"/>
      <c r="D86" s="629"/>
      <c r="E86" s="59"/>
      <c r="F86" s="11"/>
    </row>
    <row r="87" spans="3:6" ht="14.4" hidden="1" customHeight="1" outlineLevel="2" x14ac:dyDescent="0.3">
      <c r="C87" s="628"/>
      <c r="D87" s="629"/>
      <c r="E87" s="59"/>
      <c r="F87" s="11"/>
    </row>
    <row r="88" spans="3:6" ht="14.4" hidden="1" customHeight="1" outlineLevel="2" x14ac:dyDescent="0.3">
      <c r="C88" s="628"/>
      <c r="D88" s="629"/>
      <c r="E88" s="59"/>
      <c r="F88" s="11"/>
    </row>
    <row r="89" spans="3:6" ht="14.4" hidden="1" customHeight="1" outlineLevel="2" x14ac:dyDescent="0.3">
      <c r="C89" s="628"/>
      <c r="D89" s="629"/>
      <c r="E89" s="59"/>
      <c r="F89" s="11"/>
    </row>
    <row r="90" spans="3:6" ht="14.4" hidden="1" customHeight="1" outlineLevel="2" x14ac:dyDescent="0.3">
      <c r="C90" s="628"/>
      <c r="D90" s="629"/>
      <c r="E90" s="59"/>
      <c r="F90" s="11"/>
    </row>
    <row r="91" spans="3:6" ht="14.4" hidden="1" customHeight="1" outlineLevel="2" x14ac:dyDescent="0.3">
      <c r="C91" s="628"/>
      <c r="D91" s="629"/>
      <c r="E91" s="59"/>
      <c r="F91" s="11"/>
    </row>
    <row r="92" spans="3:6" ht="14.4" hidden="1" customHeight="1" outlineLevel="2" x14ac:dyDescent="0.3">
      <c r="C92" s="628"/>
      <c r="D92" s="629"/>
      <c r="E92" s="59"/>
      <c r="F92" s="11"/>
    </row>
    <row r="93" spans="3:6" ht="14.4" hidden="1" customHeight="1" outlineLevel="2" x14ac:dyDescent="0.3">
      <c r="C93" s="628"/>
      <c r="D93" s="629"/>
      <c r="E93" s="59"/>
      <c r="F93" s="11"/>
    </row>
    <row r="94" spans="3:6" ht="14.4" hidden="1" customHeight="1" outlineLevel="2" x14ac:dyDescent="0.3">
      <c r="C94" s="628"/>
      <c r="D94" s="629"/>
      <c r="E94" s="59"/>
      <c r="F94" s="11"/>
    </row>
    <row r="95" spans="3:6" ht="14.4" hidden="1" customHeight="1" outlineLevel="2" x14ac:dyDescent="0.3">
      <c r="C95" s="628"/>
      <c r="D95" s="629"/>
      <c r="E95" s="59"/>
      <c r="F95" s="11"/>
    </row>
    <row r="96" spans="3:6" ht="14.4" hidden="1" customHeight="1" outlineLevel="2" x14ac:dyDescent="0.3">
      <c r="C96" s="628"/>
      <c r="D96" s="629"/>
      <c r="E96" s="59"/>
      <c r="F96" s="11"/>
    </row>
    <row r="97" spans="3:6" ht="14.4" hidden="1" customHeight="1" outlineLevel="2" x14ac:dyDescent="0.3">
      <c r="C97" s="628"/>
      <c r="D97" s="629"/>
      <c r="E97" s="59"/>
      <c r="F97" s="11"/>
    </row>
    <row r="98" spans="3:6" ht="14.4" hidden="1" customHeight="1" outlineLevel="2" x14ac:dyDescent="0.3">
      <c r="C98" s="628"/>
      <c r="D98" s="629"/>
      <c r="E98" s="59"/>
      <c r="F98" s="11"/>
    </row>
    <row r="99" spans="3:6" ht="14.4" hidden="1" customHeight="1" outlineLevel="2" x14ac:dyDescent="0.3">
      <c r="C99" s="628"/>
      <c r="D99" s="629"/>
      <c r="E99" s="59"/>
      <c r="F99" s="11"/>
    </row>
    <row r="100" spans="3:6" ht="14.4" hidden="1" customHeight="1" outlineLevel="2" x14ac:dyDescent="0.3">
      <c r="C100" s="628"/>
      <c r="D100" s="629"/>
      <c r="E100" s="59"/>
      <c r="F100" s="11"/>
    </row>
    <row r="101" spans="3:6" ht="14.4" hidden="1" customHeight="1" outlineLevel="2" x14ac:dyDescent="0.3">
      <c r="C101" s="628"/>
      <c r="D101" s="629"/>
      <c r="E101" s="59"/>
      <c r="F101" s="11"/>
    </row>
    <row r="102" spans="3:6" ht="14.4" hidden="1" customHeight="1" outlineLevel="2" x14ac:dyDescent="0.3">
      <c r="C102" s="628"/>
      <c r="D102" s="629"/>
      <c r="E102" s="59"/>
      <c r="F102" s="11"/>
    </row>
    <row r="103" spans="3:6" ht="14.4" hidden="1" customHeight="1" outlineLevel="2" x14ac:dyDescent="0.3">
      <c r="C103" s="628"/>
      <c r="D103" s="629"/>
      <c r="E103" s="59"/>
      <c r="F103" s="11"/>
    </row>
    <row r="104" spans="3:6" ht="14.4" hidden="1" customHeight="1" outlineLevel="2" x14ac:dyDescent="0.3">
      <c r="C104" s="628"/>
      <c r="D104" s="629"/>
      <c r="E104" s="59"/>
      <c r="F104" s="11"/>
    </row>
    <row r="105" spans="3:6" ht="14.4" hidden="1" customHeight="1" outlineLevel="2" x14ac:dyDescent="0.3">
      <c r="C105" s="628"/>
      <c r="D105" s="629"/>
      <c r="E105" s="59"/>
      <c r="F105" s="11"/>
    </row>
    <row r="106" spans="3:6" ht="14.4" hidden="1" customHeight="1" outlineLevel="2" x14ac:dyDescent="0.3">
      <c r="C106" s="628"/>
      <c r="D106" s="629"/>
      <c r="E106" s="59"/>
      <c r="F106" s="11"/>
    </row>
    <row r="107" spans="3:6" ht="14.4" hidden="1" customHeight="1" outlineLevel="2" x14ac:dyDescent="0.3">
      <c r="C107" s="628"/>
      <c r="D107" s="629"/>
      <c r="E107" s="59"/>
      <c r="F107" s="11"/>
    </row>
    <row r="108" spans="3:6" ht="14.4" hidden="1" customHeight="1" outlineLevel="2" x14ac:dyDescent="0.3">
      <c r="C108" s="628"/>
      <c r="D108" s="629"/>
      <c r="E108" s="59"/>
      <c r="F108" s="11"/>
    </row>
    <row r="109" spans="3:6" ht="14.4" hidden="1" customHeight="1" outlineLevel="2" x14ac:dyDescent="0.3">
      <c r="C109" s="628"/>
      <c r="D109" s="629"/>
      <c r="E109" s="59"/>
      <c r="F109" s="11"/>
    </row>
    <row r="110" spans="3:6" ht="14.4" hidden="1" customHeight="1" outlineLevel="2" x14ac:dyDescent="0.3">
      <c r="C110" s="628"/>
      <c r="D110" s="629"/>
      <c r="E110" s="59"/>
      <c r="F110" s="11"/>
    </row>
    <row r="111" spans="3:6" ht="14.4" hidden="1" customHeight="1" outlineLevel="2" x14ac:dyDescent="0.3">
      <c r="C111" s="628"/>
      <c r="D111" s="629"/>
      <c r="E111" s="59"/>
      <c r="F111" s="11"/>
    </row>
    <row r="112" spans="3:6" ht="14.4" hidden="1" customHeight="1" outlineLevel="2" x14ac:dyDescent="0.3">
      <c r="C112" s="628"/>
      <c r="D112" s="629"/>
      <c r="E112" s="59"/>
      <c r="F112" s="11"/>
    </row>
    <row r="113" spans="1:6" ht="14.4" hidden="1" customHeight="1" outlineLevel="2" x14ac:dyDescent="0.3">
      <c r="C113" s="628"/>
      <c r="D113" s="629"/>
      <c r="E113" s="59"/>
      <c r="F113" s="11"/>
    </row>
    <row r="114" spans="1:6" ht="14.4" hidden="1" customHeight="1" outlineLevel="2" x14ac:dyDescent="0.3">
      <c r="C114" s="628"/>
      <c r="D114" s="629"/>
      <c r="E114" s="59"/>
      <c r="F114" s="11"/>
    </row>
    <row r="115" spans="1:6" ht="14.4" hidden="1" customHeight="1" outlineLevel="2" x14ac:dyDescent="0.3">
      <c r="C115" s="628"/>
      <c r="D115" s="629"/>
      <c r="E115" s="59"/>
      <c r="F115" s="11"/>
    </row>
    <row r="116" spans="1:6" ht="14.4" hidden="1" customHeight="1" outlineLevel="2" x14ac:dyDescent="0.3">
      <c r="C116" s="628"/>
      <c r="D116" s="629"/>
      <c r="E116" s="59"/>
      <c r="F116" s="11"/>
    </row>
    <row r="117" spans="1:6" ht="14.4" hidden="1" customHeight="1" outlineLevel="2" x14ac:dyDescent="0.3">
      <c r="C117" s="628"/>
      <c r="D117" s="629"/>
      <c r="E117" s="59"/>
      <c r="F117" s="11"/>
    </row>
    <row r="118" spans="1:6" ht="14.4" hidden="1" customHeight="1" outlineLevel="2" x14ac:dyDescent="0.3">
      <c r="C118" s="628"/>
      <c r="D118" s="629"/>
      <c r="E118" s="59"/>
      <c r="F118" s="11"/>
    </row>
    <row r="119" spans="1:6" ht="14.4" customHeight="1" collapsed="1" thickBot="1" x14ac:dyDescent="0.35">
      <c r="A119" s="92"/>
      <c r="B119" s="92"/>
      <c r="C119" s="573" t="str">
        <f>template_label_link_to_previous_report_containing_disclosures_that_remain_unchanged</f>
        <v>Link to previous report containing disclosures that remain unchanged</v>
      </c>
      <c r="D119" s="574"/>
      <c r="E119" s="228"/>
      <c r="F119" s="11" t="str">
        <f>IF(AND(E18 = FALSE, E119 = ""), "",
IF(AND(E18 = TRUE, E119 = ""), template_label_missing_value,
IF(AND(E18 = FALSE, E119 &lt;&gt; ""), "",
IF(AND(E18 = TRUE, E119 &lt;&gt; "", OR(LEFT(E119, 7) = "http://", LEFT(E119, 8) = "https://", LEFT(E119, 4) = "www.")), template_label_ok,
IF(E18 = TRUE, template_label_invalid_url, template_label_missing_value)))))</f>
        <v/>
      </c>
    </row>
    <row r="120" spans="1:6" ht="15" thickBot="1" x14ac:dyDescent="0.35">
      <c r="A120" s="93"/>
      <c r="B120" s="93"/>
    </row>
    <row r="121" spans="1:6" ht="17.7" customHeight="1" x14ac:dyDescent="0.3">
      <c r="C121" s="623" t="str">
        <f>template_label_b1_basis_for_preparation_and_other_undertakings_general_information &amp; " " &amp; template_label_from &amp; " " &amp; template_starting_date_display &amp; " " &amp; template_label_to &amp; " " &amp; template_ending_date_display &amp; " " &amp; template_label_always_to_be_reported</f>
        <v>B1 - Basis for Preparation and other undertaking's general information from 2024-01-01 to 2024-12-31 [Always to be reported]</v>
      </c>
      <c r="D121" s="624"/>
      <c r="E121" s="625"/>
      <c r="F121"/>
    </row>
    <row r="122" spans="1:6" ht="28.8" x14ac:dyDescent="0.3">
      <c r="A122" s="442" t="s">
        <v>3730</v>
      </c>
      <c r="B122" s="466" t="s">
        <v>1</v>
      </c>
      <c r="C122" s="601" t="str">
        <f>template_label_basis_for_preparation</f>
        <v>Basis for preparation (Basic Module Only or Basic &amp; Comprehensive Module)</v>
      </c>
      <c r="D122" s="602"/>
      <c r="E122" s="60" t="s">
        <v>9543</v>
      </c>
      <c r="F122" s="11" t="str">
        <f>IF(E122 = "", template_label_missing_value, template_label_ok)</f>
        <v>OK</v>
      </c>
    </row>
    <row r="123" spans="1:6" ht="14.4" customHeight="1" x14ac:dyDescent="0.3">
      <c r="A123" s="636" t="s">
        <v>3731</v>
      </c>
      <c r="B123" s="634" t="s">
        <v>1</v>
      </c>
      <c r="C123" s="630" t="str">
        <f>template_label_list_of_omitted_disclosures_deemed_to_be_classified_or_sensitive_information</f>
        <v>List of omitted disclosures deemed to be classified or sensitive information</v>
      </c>
      <c r="D123" s="631"/>
      <c r="E123" s="60" t="s">
        <v>2656</v>
      </c>
      <c r="F123" s="11" t="str">
        <f>IF(E122 = "", "",
IF(AND(OR(E122 = "Option A (Basic Module only)", E122 = "Option B (Basic Module and Comprehensive Module)"), E123 = ""), template_label_missing_value,
IF(COUNTIF(E123:E223, E123) &gt; 1, template_label_value_inconsistency, template_label_ok)))</f>
        <v>OK</v>
      </c>
    </row>
    <row r="124" spans="1:6" ht="14.4" customHeight="1" x14ac:dyDescent="0.3">
      <c r="A124" s="637"/>
      <c r="B124" s="635"/>
      <c r="C124" s="632"/>
      <c r="D124" s="633"/>
      <c r="E124" s="61"/>
      <c r="F124" s="11" t="str">
        <f t="shared" ref="F124:F155" si="1">IF(AND($E$123 = "None", E124 &lt;&gt; ""), template_label_value_inconsistency,
IF(E124 = "", "",
IF(COUNTIF($E$123:$E$222, E124) &gt; 1,
   template_label_value_inconsistency,
   template_label_ok)))</f>
        <v/>
      </c>
    </row>
    <row r="125" spans="1:6" ht="14.4" customHeight="1" x14ac:dyDescent="0.3">
      <c r="A125" s="637"/>
      <c r="B125" s="635"/>
      <c r="C125" s="632"/>
      <c r="D125" s="633"/>
      <c r="E125" s="61"/>
      <c r="F125" s="11" t="str">
        <f t="shared" si="1"/>
        <v/>
      </c>
    </row>
    <row r="126" spans="1:6" ht="14.4" hidden="1" customHeight="1" outlineLevel="1" x14ac:dyDescent="0.3">
      <c r="A126" s="637"/>
      <c r="B126" s="635"/>
      <c r="C126" s="632"/>
      <c r="D126" s="633"/>
      <c r="E126" s="61"/>
      <c r="F126" s="11" t="str">
        <f t="shared" si="1"/>
        <v/>
      </c>
    </row>
    <row r="127" spans="1:6" ht="14.4" hidden="1" customHeight="1" outlineLevel="1" x14ac:dyDescent="0.3">
      <c r="A127" s="637"/>
      <c r="B127" s="635"/>
      <c r="C127" s="632"/>
      <c r="D127" s="633"/>
      <c r="E127" s="61"/>
      <c r="F127" s="11" t="str">
        <f t="shared" si="1"/>
        <v/>
      </c>
    </row>
    <row r="128" spans="1:6" ht="14.4" hidden="1" customHeight="1" outlineLevel="1" x14ac:dyDescent="0.3">
      <c r="A128" s="637"/>
      <c r="B128" s="635"/>
      <c r="C128" s="632"/>
      <c r="D128" s="633"/>
      <c r="E128" s="61"/>
      <c r="F128" s="11" t="str">
        <f t="shared" si="1"/>
        <v/>
      </c>
    </row>
    <row r="129" spans="1:6" ht="14.4" hidden="1" customHeight="1" outlineLevel="1" x14ac:dyDescent="0.3">
      <c r="A129" s="637"/>
      <c r="B129" s="635"/>
      <c r="C129" s="632"/>
      <c r="D129" s="633"/>
      <c r="E129" s="61"/>
      <c r="F129" s="11" t="str">
        <f t="shared" si="1"/>
        <v/>
      </c>
    </row>
    <row r="130" spans="1:6" ht="14.4" hidden="1" customHeight="1" outlineLevel="1" x14ac:dyDescent="0.3">
      <c r="A130" s="637"/>
      <c r="B130" s="635"/>
      <c r="C130" s="632"/>
      <c r="D130" s="633"/>
      <c r="E130" s="61"/>
      <c r="F130" s="11" t="str">
        <f t="shared" si="1"/>
        <v/>
      </c>
    </row>
    <row r="131" spans="1:6" ht="14.4" hidden="1" customHeight="1" outlineLevel="1" x14ac:dyDescent="0.3">
      <c r="A131" s="637"/>
      <c r="B131" s="635"/>
      <c r="C131" s="632"/>
      <c r="D131" s="633"/>
      <c r="E131" s="61"/>
      <c r="F131" s="11" t="str">
        <f t="shared" si="1"/>
        <v/>
      </c>
    </row>
    <row r="132" spans="1:6" ht="14.4" hidden="1" customHeight="1" outlineLevel="1" x14ac:dyDescent="0.3">
      <c r="A132" s="637"/>
      <c r="B132" s="635"/>
      <c r="C132" s="632"/>
      <c r="D132" s="633"/>
      <c r="E132" s="61"/>
      <c r="F132" s="11" t="str">
        <f t="shared" si="1"/>
        <v/>
      </c>
    </row>
    <row r="133" spans="1:6" ht="14.4" hidden="1" customHeight="1" outlineLevel="1" x14ac:dyDescent="0.3">
      <c r="A133" s="637"/>
      <c r="B133" s="635"/>
      <c r="C133" s="632"/>
      <c r="D133" s="633"/>
      <c r="E133" s="61"/>
      <c r="F133" s="11" t="str">
        <f t="shared" si="1"/>
        <v/>
      </c>
    </row>
    <row r="134" spans="1:6" ht="14.4" hidden="1" customHeight="1" outlineLevel="1" x14ac:dyDescent="0.3">
      <c r="A134" s="637"/>
      <c r="B134" s="635"/>
      <c r="C134" s="632"/>
      <c r="D134" s="633"/>
      <c r="E134" s="61"/>
      <c r="F134" s="11" t="str">
        <f t="shared" si="1"/>
        <v/>
      </c>
    </row>
    <row r="135" spans="1:6" ht="14.4" hidden="1" customHeight="1" outlineLevel="1" x14ac:dyDescent="0.3">
      <c r="A135" s="637"/>
      <c r="B135" s="635"/>
      <c r="C135" s="632"/>
      <c r="D135" s="633"/>
      <c r="E135" s="61"/>
      <c r="F135" s="11" t="str">
        <f t="shared" si="1"/>
        <v/>
      </c>
    </row>
    <row r="136" spans="1:6" ht="14.4" hidden="1" customHeight="1" outlineLevel="1" x14ac:dyDescent="0.3">
      <c r="A136" s="637"/>
      <c r="B136" s="635"/>
      <c r="C136" s="632"/>
      <c r="D136" s="633"/>
      <c r="E136" s="61"/>
      <c r="F136" s="11" t="str">
        <f t="shared" si="1"/>
        <v/>
      </c>
    </row>
    <row r="137" spans="1:6" ht="14.4" hidden="1" customHeight="1" outlineLevel="1" x14ac:dyDescent="0.3">
      <c r="A137" s="637"/>
      <c r="B137" s="635"/>
      <c r="C137" s="632"/>
      <c r="D137" s="633"/>
      <c r="E137" s="61"/>
      <c r="F137" s="11" t="str">
        <f t="shared" si="1"/>
        <v/>
      </c>
    </row>
    <row r="138" spans="1:6" ht="14.4" hidden="1" customHeight="1" outlineLevel="1" x14ac:dyDescent="0.3">
      <c r="A138" s="637"/>
      <c r="B138" s="635"/>
      <c r="C138" s="632"/>
      <c r="D138" s="633"/>
      <c r="E138" s="61"/>
      <c r="F138" s="11" t="str">
        <f t="shared" si="1"/>
        <v/>
      </c>
    </row>
    <row r="139" spans="1:6" ht="14.4" hidden="1" customHeight="1" outlineLevel="1" x14ac:dyDescent="0.3">
      <c r="A139" s="637"/>
      <c r="B139" s="635"/>
      <c r="C139" s="632"/>
      <c r="D139" s="633"/>
      <c r="E139" s="61"/>
      <c r="F139" s="11" t="str">
        <f t="shared" si="1"/>
        <v/>
      </c>
    </row>
    <row r="140" spans="1:6" ht="14.4" hidden="1" customHeight="1" outlineLevel="1" x14ac:dyDescent="0.3">
      <c r="A140" s="637"/>
      <c r="B140" s="635"/>
      <c r="C140" s="632"/>
      <c r="D140" s="633"/>
      <c r="E140" s="61"/>
      <c r="F140" s="11" t="str">
        <f t="shared" si="1"/>
        <v/>
      </c>
    </row>
    <row r="141" spans="1:6" ht="14.4" hidden="1" customHeight="1" outlineLevel="1" x14ac:dyDescent="0.3">
      <c r="A141" s="637"/>
      <c r="B141" s="635"/>
      <c r="C141" s="632"/>
      <c r="D141" s="633"/>
      <c r="E141" s="61"/>
      <c r="F141" s="11" t="str">
        <f t="shared" si="1"/>
        <v/>
      </c>
    </row>
    <row r="142" spans="1:6" ht="14.4" hidden="1" customHeight="1" outlineLevel="1" x14ac:dyDescent="0.3">
      <c r="A142" s="637"/>
      <c r="B142" s="635"/>
      <c r="C142" s="632"/>
      <c r="D142" s="633"/>
      <c r="E142" s="61"/>
      <c r="F142" s="11" t="str">
        <f t="shared" si="1"/>
        <v/>
      </c>
    </row>
    <row r="143" spans="1:6" ht="14.4" hidden="1" customHeight="1" outlineLevel="1" x14ac:dyDescent="0.3">
      <c r="A143" s="637"/>
      <c r="B143" s="635"/>
      <c r="C143" s="632"/>
      <c r="D143" s="633"/>
      <c r="E143" s="61"/>
      <c r="F143" s="11" t="str">
        <f t="shared" si="1"/>
        <v/>
      </c>
    </row>
    <row r="144" spans="1:6" ht="14.4" hidden="1" customHeight="1" outlineLevel="1" x14ac:dyDescent="0.3">
      <c r="A144" s="637"/>
      <c r="B144" s="635"/>
      <c r="C144" s="632"/>
      <c r="D144" s="633"/>
      <c r="E144" s="61"/>
      <c r="F144" s="11" t="str">
        <f t="shared" si="1"/>
        <v/>
      </c>
    </row>
    <row r="145" spans="1:6" ht="14.4" hidden="1" customHeight="1" outlineLevel="1" x14ac:dyDescent="0.3">
      <c r="A145" s="637"/>
      <c r="B145" s="635"/>
      <c r="C145" s="632"/>
      <c r="D145" s="633"/>
      <c r="E145" s="61"/>
      <c r="F145" s="11" t="str">
        <f t="shared" si="1"/>
        <v/>
      </c>
    </row>
    <row r="146" spans="1:6" ht="14.4" hidden="1" customHeight="1" outlineLevel="1" x14ac:dyDescent="0.3">
      <c r="A146" s="637"/>
      <c r="B146" s="635"/>
      <c r="C146" s="632"/>
      <c r="D146" s="633"/>
      <c r="E146" s="61"/>
      <c r="F146" s="11" t="str">
        <f t="shared" si="1"/>
        <v/>
      </c>
    </row>
    <row r="147" spans="1:6" ht="14.4" hidden="1" customHeight="1" outlineLevel="1" x14ac:dyDescent="0.3">
      <c r="A147" s="637"/>
      <c r="B147" s="635"/>
      <c r="C147" s="632"/>
      <c r="D147" s="633"/>
      <c r="E147" s="61"/>
      <c r="F147" s="11" t="str">
        <f t="shared" si="1"/>
        <v/>
      </c>
    </row>
    <row r="148" spans="1:6" ht="14.4" hidden="1" customHeight="1" outlineLevel="1" x14ac:dyDescent="0.3">
      <c r="A148" s="637"/>
      <c r="B148" s="635"/>
      <c r="C148" s="632"/>
      <c r="D148" s="633"/>
      <c r="E148" s="61"/>
      <c r="F148" s="11" t="str">
        <f t="shared" si="1"/>
        <v/>
      </c>
    </row>
    <row r="149" spans="1:6" ht="14.4" hidden="1" customHeight="1" outlineLevel="1" x14ac:dyDescent="0.3">
      <c r="A149" s="637"/>
      <c r="B149" s="635"/>
      <c r="C149" s="632"/>
      <c r="D149" s="633"/>
      <c r="E149" s="61"/>
      <c r="F149" s="11" t="str">
        <f t="shared" si="1"/>
        <v/>
      </c>
    </row>
    <row r="150" spans="1:6" ht="14.4" hidden="1" customHeight="1" outlineLevel="1" x14ac:dyDescent="0.3">
      <c r="A150" s="637"/>
      <c r="B150" s="635"/>
      <c r="C150" s="632"/>
      <c r="D150" s="633"/>
      <c r="E150" s="61"/>
      <c r="F150" s="11" t="str">
        <f t="shared" si="1"/>
        <v/>
      </c>
    </row>
    <row r="151" spans="1:6" ht="14.4" hidden="1" customHeight="1" outlineLevel="1" x14ac:dyDescent="0.3">
      <c r="A151" s="637"/>
      <c r="B151" s="635"/>
      <c r="C151" s="632"/>
      <c r="D151" s="633"/>
      <c r="E151" s="61"/>
      <c r="F151" s="11" t="str">
        <f t="shared" si="1"/>
        <v/>
      </c>
    </row>
    <row r="152" spans="1:6" ht="14.4" hidden="1" customHeight="1" outlineLevel="1" x14ac:dyDescent="0.3">
      <c r="A152" s="637"/>
      <c r="B152" s="635"/>
      <c r="C152" s="632"/>
      <c r="D152" s="633"/>
      <c r="E152" s="61"/>
      <c r="F152" s="11" t="str">
        <f t="shared" si="1"/>
        <v/>
      </c>
    </row>
    <row r="153" spans="1:6" ht="14.4" hidden="1" customHeight="1" outlineLevel="1" x14ac:dyDescent="0.3">
      <c r="A153" s="637"/>
      <c r="B153" s="635"/>
      <c r="C153" s="632"/>
      <c r="D153" s="633"/>
      <c r="E153" s="61"/>
      <c r="F153" s="11" t="str">
        <f t="shared" si="1"/>
        <v/>
      </c>
    </row>
    <row r="154" spans="1:6" ht="14.4" hidden="1" customHeight="1" outlineLevel="1" x14ac:dyDescent="0.3">
      <c r="A154" s="637"/>
      <c r="B154" s="635"/>
      <c r="C154" s="632"/>
      <c r="D154" s="633"/>
      <c r="E154" s="61"/>
      <c r="F154" s="11" t="str">
        <f t="shared" si="1"/>
        <v/>
      </c>
    </row>
    <row r="155" spans="1:6" ht="14.4" hidden="1" customHeight="1" outlineLevel="1" x14ac:dyDescent="0.3">
      <c r="A155" s="637"/>
      <c r="B155" s="635"/>
      <c r="C155" s="632"/>
      <c r="D155" s="633"/>
      <c r="E155" s="61"/>
      <c r="F155" s="11" t="str">
        <f t="shared" si="1"/>
        <v/>
      </c>
    </row>
    <row r="156" spans="1:6" ht="14.4" hidden="1" customHeight="1" outlineLevel="1" x14ac:dyDescent="0.3">
      <c r="A156" s="637"/>
      <c r="B156" s="635"/>
      <c r="C156" s="632"/>
      <c r="D156" s="633"/>
      <c r="E156" s="61"/>
      <c r="F156" s="11" t="str">
        <f t="shared" ref="F156:F187" si="2">IF(AND($E$123 = "None", E156 &lt;&gt; ""), template_label_value_inconsistency,
IF(E156 = "", "",
IF(COUNTIF($E$123:$E$222, E156) &gt; 1,
   template_label_value_inconsistency,
   template_label_ok)))</f>
        <v/>
      </c>
    </row>
    <row r="157" spans="1:6" ht="14.4" hidden="1" customHeight="1" outlineLevel="1" x14ac:dyDescent="0.3">
      <c r="A157" s="637"/>
      <c r="B157" s="635"/>
      <c r="C157" s="632"/>
      <c r="D157" s="633"/>
      <c r="E157" s="61"/>
      <c r="F157" s="11" t="str">
        <f t="shared" si="2"/>
        <v/>
      </c>
    </row>
    <row r="158" spans="1:6" ht="14.4" hidden="1" customHeight="1" outlineLevel="1" x14ac:dyDescent="0.3">
      <c r="A158" s="637"/>
      <c r="B158" s="635"/>
      <c r="C158" s="632"/>
      <c r="D158" s="633"/>
      <c r="E158" s="61"/>
      <c r="F158" s="11" t="str">
        <f t="shared" si="2"/>
        <v/>
      </c>
    </row>
    <row r="159" spans="1:6" ht="14.4" hidden="1" customHeight="1" outlineLevel="1" x14ac:dyDescent="0.3">
      <c r="A159" s="637"/>
      <c r="B159" s="635"/>
      <c r="C159" s="632"/>
      <c r="D159" s="633"/>
      <c r="E159" s="61"/>
      <c r="F159" s="11" t="str">
        <f t="shared" si="2"/>
        <v/>
      </c>
    </row>
    <row r="160" spans="1:6" ht="14.4" hidden="1" customHeight="1" outlineLevel="1" x14ac:dyDescent="0.3">
      <c r="A160" s="637"/>
      <c r="B160" s="635"/>
      <c r="C160" s="632"/>
      <c r="D160" s="633"/>
      <c r="E160" s="61"/>
      <c r="F160" s="11" t="str">
        <f t="shared" si="2"/>
        <v/>
      </c>
    </row>
    <row r="161" spans="1:6" ht="14.4" hidden="1" customHeight="1" outlineLevel="1" x14ac:dyDescent="0.3">
      <c r="A161" s="637"/>
      <c r="B161" s="635"/>
      <c r="C161" s="632"/>
      <c r="D161" s="633"/>
      <c r="E161" s="61"/>
      <c r="F161" s="11" t="str">
        <f t="shared" si="2"/>
        <v/>
      </c>
    </row>
    <row r="162" spans="1:6" ht="14.4" hidden="1" customHeight="1" outlineLevel="1" x14ac:dyDescent="0.3">
      <c r="A162" s="637"/>
      <c r="B162" s="635"/>
      <c r="C162" s="632"/>
      <c r="D162" s="633"/>
      <c r="E162" s="61"/>
      <c r="F162" s="11" t="str">
        <f t="shared" si="2"/>
        <v/>
      </c>
    </row>
    <row r="163" spans="1:6" ht="14.4" hidden="1" customHeight="1" outlineLevel="1" x14ac:dyDescent="0.3">
      <c r="A163" s="637"/>
      <c r="B163" s="635"/>
      <c r="C163" s="632"/>
      <c r="D163" s="633"/>
      <c r="E163" s="61"/>
      <c r="F163" s="11" t="str">
        <f t="shared" si="2"/>
        <v/>
      </c>
    </row>
    <row r="164" spans="1:6" ht="14.4" hidden="1" customHeight="1" outlineLevel="1" x14ac:dyDescent="0.3">
      <c r="A164" s="637"/>
      <c r="B164" s="635"/>
      <c r="C164" s="632"/>
      <c r="D164" s="633"/>
      <c r="E164" s="61"/>
      <c r="F164" s="11" t="str">
        <f t="shared" si="2"/>
        <v/>
      </c>
    </row>
    <row r="165" spans="1:6" ht="14.4" hidden="1" customHeight="1" outlineLevel="1" x14ac:dyDescent="0.3">
      <c r="A165" s="637"/>
      <c r="B165" s="635"/>
      <c r="C165" s="632"/>
      <c r="D165" s="633"/>
      <c r="E165" s="61"/>
      <c r="F165" s="11" t="str">
        <f t="shared" si="2"/>
        <v/>
      </c>
    </row>
    <row r="166" spans="1:6" ht="14.4" hidden="1" customHeight="1" outlineLevel="1" x14ac:dyDescent="0.3">
      <c r="A166" s="637"/>
      <c r="B166" s="635"/>
      <c r="C166" s="632"/>
      <c r="D166" s="633"/>
      <c r="E166" s="61"/>
      <c r="F166" s="11" t="str">
        <f t="shared" si="2"/>
        <v/>
      </c>
    </row>
    <row r="167" spans="1:6" ht="14.4" hidden="1" customHeight="1" outlineLevel="1" x14ac:dyDescent="0.3">
      <c r="A167" s="637"/>
      <c r="B167" s="635"/>
      <c r="C167" s="632"/>
      <c r="D167" s="633"/>
      <c r="E167" s="61"/>
      <c r="F167" s="11" t="str">
        <f t="shared" si="2"/>
        <v/>
      </c>
    </row>
    <row r="168" spans="1:6" ht="14.4" hidden="1" customHeight="1" outlineLevel="1" x14ac:dyDescent="0.3">
      <c r="A168" s="637"/>
      <c r="B168" s="635"/>
      <c r="C168" s="632"/>
      <c r="D168" s="633"/>
      <c r="E168" s="61"/>
      <c r="F168" s="11" t="str">
        <f t="shared" si="2"/>
        <v/>
      </c>
    </row>
    <row r="169" spans="1:6" ht="14.4" hidden="1" customHeight="1" outlineLevel="1" x14ac:dyDescent="0.3">
      <c r="A169" s="637"/>
      <c r="B169" s="635"/>
      <c r="C169" s="632"/>
      <c r="D169" s="633"/>
      <c r="E169" s="61"/>
      <c r="F169" s="11" t="str">
        <f t="shared" si="2"/>
        <v/>
      </c>
    </row>
    <row r="170" spans="1:6" ht="14.4" hidden="1" customHeight="1" outlineLevel="1" x14ac:dyDescent="0.3">
      <c r="A170" s="637"/>
      <c r="B170" s="635"/>
      <c r="C170" s="632"/>
      <c r="D170" s="633"/>
      <c r="E170" s="61"/>
      <c r="F170" s="11" t="str">
        <f t="shared" si="2"/>
        <v/>
      </c>
    </row>
    <row r="171" spans="1:6" ht="14.4" hidden="1" customHeight="1" outlineLevel="1" x14ac:dyDescent="0.3">
      <c r="A171" s="637"/>
      <c r="B171" s="635"/>
      <c r="C171" s="632"/>
      <c r="D171" s="633"/>
      <c r="E171" s="61"/>
      <c r="F171" s="11" t="str">
        <f t="shared" si="2"/>
        <v/>
      </c>
    </row>
    <row r="172" spans="1:6" ht="14.4" hidden="1" customHeight="1" outlineLevel="1" x14ac:dyDescent="0.3">
      <c r="A172" s="637"/>
      <c r="B172" s="635"/>
      <c r="C172" s="632"/>
      <c r="D172" s="633"/>
      <c r="E172" s="61"/>
      <c r="F172" s="11" t="str">
        <f t="shared" si="2"/>
        <v/>
      </c>
    </row>
    <row r="173" spans="1:6" ht="14.4" hidden="1" customHeight="1" outlineLevel="1" x14ac:dyDescent="0.3">
      <c r="A173" s="637"/>
      <c r="B173" s="635"/>
      <c r="C173" s="632"/>
      <c r="D173" s="633"/>
      <c r="E173" s="61"/>
      <c r="F173" s="11" t="str">
        <f t="shared" si="2"/>
        <v/>
      </c>
    </row>
    <row r="174" spans="1:6" ht="14.4" hidden="1" customHeight="1" outlineLevel="1" x14ac:dyDescent="0.3">
      <c r="A174" s="637"/>
      <c r="B174" s="635"/>
      <c r="C174" s="632"/>
      <c r="D174" s="633"/>
      <c r="E174" s="61"/>
      <c r="F174" s="11" t="str">
        <f t="shared" si="2"/>
        <v/>
      </c>
    </row>
    <row r="175" spans="1:6" ht="14.4" hidden="1" customHeight="1" outlineLevel="1" x14ac:dyDescent="0.3">
      <c r="A175" s="637"/>
      <c r="B175" s="635"/>
      <c r="C175" s="632"/>
      <c r="D175" s="633"/>
      <c r="E175" s="61"/>
      <c r="F175" s="11" t="str">
        <f t="shared" si="2"/>
        <v/>
      </c>
    </row>
    <row r="176" spans="1:6" ht="14.4" hidden="1" customHeight="1" outlineLevel="1" x14ac:dyDescent="0.3">
      <c r="A176" s="637"/>
      <c r="B176" s="635"/>
      <c r="C176" s="632"/>
      <c r="D176" s="633"/>
      <c r="E176" s="61"/>
      <c r="F176" s="11" t="str">
        <f t="shared" si="2"/>
        <v/>
      </c>
    </row>
    <row r="177" spans="1:6" ht="14.4" hidden="1" customHeight="1" outlineLevel="1" x14ac:dyDescent="0.3">
      <c r="A177" s="637"/>
      <c r="B177" s="635"/>
      <c r="C177" s="632"/>
      <c r="D177" s="633"/>
      <c r="E177" s="61"/>
      <c r="F177" s="11" t="str">
        <f t="shared" si="2"/>
        <v/>
      </c>
    </row>
    <row r="178" spans="1:6" ht="14.4" hidden="1" customHeight="1" outlineLevel="1" x14ac:dyDescent="0.3">
      <c r="A178" s="637"/>
      <c r="B178" s="635"/>
      <c r="C178" s="632"/>
      <c r="D178" s="633"/>
      <c r="E178" s="61"/>
      <c r="F178" s="11" t="str">
        <f t="shared" si="2"/>
        <v/>
      </c>
    </row>
    <row r="179" spans="1:6" ht="14.4" hidden="1" customHeight="1" outlineLevel="1" x14ac:dyDescent="0.3">
      <c r="A179" s="637"/>
      <c r="B179" s="635"/>
      <c r="C179" s="632"/>
      <c r="D179" s="633"/>
      <c r="E179" s="61"/>
      <c r="F179" s="11" t="str">
        <f t="shared" si="2"/>
        <v/>
      </c>
    </row>
    <row r="180" spans="1:6" ht="14.4" hidden="1" customHeight="1" outlineLevel="1" x14ac:dyDescent="0.3">
      <c r="A180" s="637"/>
      <c r="B180" s="635"/>
      <c r="C180" s="632"/>
      <c r="D180" s="633"/>
      <c r="E180" s="61"/>
      <c r="F180" s="11" t="str">
        <f t="shared" si="2"/>
        <v/>
      </c>
    </row>
    <row r="181" spans="1:6" ht="14.4" hidden="1" customHeight="1" outlineLevel="1" x14ac:dyDescent="0.3">
      <c r="A181" s="637"/>
      <c r="B181" s="635"/>
      <c r="C181" s="632"/>
      <c r="D181" s="633"/>
      <c r="E181" s="61"/>
      <c r="F181" s="11" t="str">
        <f t="shared" si="2"/>
        <v/>
      </c>
    </row>
    <row r="182" spans="1:6" ht="14.4" hidden="1" customHeight="1" outlineLevel="1" x14ac:dyDescent="0.3">
      <c r="A182" s="637"/>
      <c r="B182" s="635"/>
      <c r="C182" s="632"/>
      <c r="D182" s="633"/>
      <c r="E182" s="61"/>
      <c r="F182" s="11" t="str">
        <f t="shared" si="2"/>
        <v/>
      </c>
    </row>
    <row r="183" spans="1:6" ht="14.4" hidden="1" customHeight="1" outlineLevel="1" x14ac:dyDescent="0.3">
      <c r="A183" s="637"/>
      <c r="B183" s="635"/>
      <c r="C183" s="632"/>
      <c r="D183" s="633"/>
      <c r="E183" s="61"/>
      <c r="F183" s="11" t="str">
        <f t="shared" si="2"/>
        <v/>
      </c>
    </row>
    <row r="184" spans="1:6" ht="14.4" hidden="1" customHeight="1" outlineLevel="1" x14ac:dyDescent="0.3">
      <c r="A184" s="637"/>
      <c r="B184" s="635"/>
      <c r="C184" s="632"/>
      <c r="D184" s="633"/>
      <c r="E184" s="61"/>
      <c r="F184" s="11" t="str">
        <f t="shared" si="2"/>
        <v/>
      </c>
    </row>
    <row r="185" spans="1:6" ht="14.4" hidden="1" customHeight="1" outlineLevel="1" x14ac:dyDescent="0.3">
      <c r="A185" s="637"/>
      <c r="B185" s="635"/>
      <c r="C185" s="632"/>
      <c r="D185" s="633"/>
      <c r="E185" s="61"/>
      <c r="F185" s="11" t="str">
        <f t="shared" si="2"/>
        <v/>
      </c>
    </row>
    <row r="186" spans="1:6" ht="14.4" hidden="1" customHeight="1" outlineLevel="1" x14ac:dyDescent="0.3">
      <c r="A186" s="637"/>
      <c r="B186" s="635"/>
      <c r="C186" s="632"/>
      <c r="D186" s="633"/>
      <c r="E186" s="61"/>
      <c r="F186" s="11" t="str">
        <f t="shared" si="2"/>
        <v/>
      </c>
    </row>
    <row r="187" spans="1:6" ht="14.4" hidden="1" customHeight="1" outlineLevel="1" x14ac:dyDescent="0.3">
      <c r="A187" s="637"/>
      <c r="B187" s="635"/>
      <c r="C187" s="632"/>
      <c r="D187" s="633"/>
      <c r="E187" s="61"/>
      <c r="F187" s="11" t="str">
        <f t="shared" si="2"/>
        <v/>
      </c>
    </row>
    <row r="188" spans="1:6" ht="14.4" hidden="1" customHeight="1" outlineLevel="1" x14ac:dyDescent="0.3">
      <c r="A188" s="637"/>
      <c r="B188" s="635"/>
      <c r="C188" s="632"/>
      <c r="D188" s="633"/>
      <c r="E188" s="61"/>
      <c r="F188" s="11" t="str">
        <f t="shared" ref="F188:F219" si="3">IF(AND($E$123 = "None", E188 &lt;&gt; ""), template_label_value_inconsistency,
IF(E188 = "", "",
IF(COUNTIF($E$123:$E$222, E188) &gt; 1,
   template_label_value_inconsistency,
   template_label_ok)))</f>
        <v/>
      </c>
    </row>
    <row r="189" spans="1:6" ht="14.4" hidden="1" customHeight="1" outlineLevel="1" x14ac:dyDescent="0.3">
      <c r="A189" s="637"/>
      <c r="B189" s="635"/>
      <c r="C189" s="632"/>
      <c r="D189" s="633"/>
      <c r="E189" s="61"/>
      <c r="F189" s="11" t="str">
        <f t="shared" si="3"/>
        <v/>
      </c>
    </row>
    <row r="190" spans="1:6" ht="14.4" hidden="1" customHeight="1" outlineLevel="1" x14ac:dyDescent="0.3">
      <c r="A190" s="637"/>
      <c r="B190" s="635"/>
      <c r="C190" s="632"/>
      <c r="D190" s="633"/>
      <c r="E190" s="61"/>
      <c r="F190" s="11" t="str">
        <f t="shared" si="3"/>
        <v/>
      </c>
    </row>
    <row r="191" spans="1:6" ht="14.4" hidden="1" customHeight="1" outlineLevel="1" x14ac:dyDescent="0.3">
      <c r="A191" s="637"/>
      <c r="B191" s="635"/>
      <c r="C191" s="632"/>
      <c r="D191" s="633"/>
      <c r="E191" s="61"/>
      <c r="F191" s="11" t="str">
        <f t="shared" si="3"/>
        <v/>
      </c>
    </row>
    <row r="192" spans="1:6" ht="14.4" hidden="1" customHeight="1" outlineLevel="1" x14ac:dyDescent="0.3">
      <c r="A192" s="637"/>
      <c r="B192" s="635"/>
      <c r="C192" s="632"/>
      <c r="D192" s="633"/>
      <c r="E192" s="61"/>
      <c r="F192" s="11" t="str">
        <f t="shared" si="3"/>
        <v/>
      </c>
    </row>
    <row r="193" spans="1:6" ht="14.4" hidden="1" customHeight="1" outlineLevel="1" x14ac:dyDescent="0.3">
      <c r="A193" s="637"/>
      <c r="B193" s="635"/>
      <c r="C193" s="632"/>
      <c r="D193" s="633"/>
      <c r="E193" s="61"/>
      <c r="F193" s="11" t="str">
        <f t="shared" si="3"/>
        <v/>
      </c>
    </row>
    <row r="194" spans="1:6" ht="14.4" hidden="1" customHeight="1" outlineLevel="1" x14ac:dyDescent="0.3">
      <c r="A194" s="637"/>
      <c r="B194" s="635"/>
      <c r="C194" s="632"/>
      <c r="D194" s="633"/>
      <c r="E194" s="61"/>
      <c r="F194" s="11" t="str">
        <f t="shared" si="3"/>
        <v/>
      </c>
    </row>
    <row r="195" spans="1:6" ht="14.4" hidden="1" customHeight="1" outlineLevel="1" x14ac:dyDescent="0.3">
      <c r="A195" s="637"/>
      <c r="B195" s="635"/>
      <c r="C195" s="632"/>
      <c r="D195" s="633"/>
      <c r="E195" s="61"/>
      <c r="F195" s="11" t="str">
        <f t="shared" si="3"/>
        <v/>
      </c>
    </row>
    <row r="196" spans="1:6" ht="14.4" hidden="1" customHeight="1" outlineLevel="1" x14ac:dyDescent="0.3">
      <c r="A196" s="637"/>
      <c r="B196" s="635"/>
      <c r="C196" s="632"/>
      <c r="D196" s="633"/>
      <c r="E196" s="61"/>
      <c r="F196" s="11" t="str">
        <f t="shared" si="3"/>
        <v/>
      </c>
    </row>
    <row r="197" spans="1:6" ht="14.4" hidden="1" customHeight="1" outlineLevel="1" x14ac:dyDescent="0.3">
      <c r="A197" s="637"/>
      <c r="B197" s="635"/>
      <c r="C197" s="632"/>
      <c r="D197" s="633"/>
      <c r="E197" s="61"/>
      <c r="F197" s="11" t="str">
        <f t="shared" si="3"/>
        <v/>
      </c>
    </row>
    <row r="198" spans="1:6" ht="14.4" hidden="1" customHeight="1" outlineLevel="1" x14ac:dyDescent="0.3">
      <c r="A198" s="637"/>
      <c r="B198" s="635"/>
      <c r="C198" s="632"/>
      <c r="D198" s="633"/>
      <c r="E198" s="61"/>
      <c r="F198" s="11" t="str">
        <f t="shared" si="3"/>
        <v/>
      </c>
    </row>
    <row r="199" spans="1:6" ht="14.4" hidden="1" customHeight="1" outlineLevel="1" x14ac:dyDescent="0.3">
      <c r="A199" s="637"/>
      <c r="B199" s="635"/>
      <c r="C199" s="632"/>
      <c r="D199" s="633"/>
      <c r="E199" s="61"/>
      <c r="F199" s="11" t="str">
        <f t="shared" si="3"/>
        <v/>
      </c>
    </row>
    <row r="200" spans="1:6" ht="14.4" hidden="1" customHeight="1" outlineLevel="1" x14ac:dyDescent="0.3">
      <c r="A200" s="637"/>
      <c r="B200" s="635"/>
      <c r="C200" s="632"/>
      <c r="D200" s="633"/>
      <c r="E200" s="61"/>
      <c r="F200" s="11" t="str">
        <f t="shared" si="3"/>
        <v/>
      </c>
    </row>
    <row r="201" spans="1:6" ht="14.4" hidden="1" customHeight="1" outlineLevel="1" x14ac:dyDescent="0.3">
      <c r="A201" s="637"/>
      <c r="B201" s="635"/>
      <c r="C201" s="632"/>
      <c r="D201" s="633"/>
      <c r="E201" s="61"/>
      <c r="F201" s="11" t="str">
        <f t="shared" si="3"/>
        <v/>
      </c>
    </row>
    <row r="202" spans="1:6" ht="14.4" hidden="1" customHeight="1" outlineLevel="1" x14ac:dyDescent="0.3">
      <c r="A202" s="637"/>
      <c r="B202" s="635"/>
      <c r="C202" s="632"/>
      <c r="D202" s="633"/>
      <c r="E202" s="61"/>
      <c r="F202" s="11" t="str">
        <f t="shared" si="3"/>
        <v/>
      </c>
    </row>
    <row r="203" spans="1:6" ht="14.4" hidden="1" customHeight="1" outlineLevel="1" x14ac:dyDescent="0.3">
      <c r="A203" s="637"/>
      <c r="B203" s="635"/>
      <c r="C203" s="632"/>
      <c r="D203" s="633"/>
      <c r="E203" s="61"/>
      <c r="F203" s="11" t="str">
        <f t="shared" si="3"/>
        <v/>
      </c>
    </row>
    <row r="204" spans="1:6" ht="14.4" hidden="1" customHeight="1" outlineLevel="1" x14ac:dyDescent="0.3">
      <c r="A204" s="637"/>
      <c r="B204" s="635"/>
      <c r="C204" s="632"/>
      <c r="D204" s="633"/>
      <c r="E204" s="61"/>
      <c r="F204" s="11" t="str">
        <f t="shared" si="3"/>
        <v/>
      </c>
    </row>
    <row r="205" spans="1:6" ht="14.4" hidden="1" customHeight="1" outlineLevel="1" x14ac:dyDescent="0.3">
      <c r="A205" s="637"/>
      <c r="B205" s="635"/>
      <c r="C205" s="632"/>
      <c r="D205" s="633"/>
      <c r="E205" s="61"/>
      <c r="F205" s="11" t="str">
        <f t="shared" si="3"/>
        <v/>
      </c>
    </row>
    <row r="206" spans="1:6" ht="14.4" hidden="1" customHeight="1" outlineLevel="1" x14ac:dyDescent="0.3">
      <c r="A206" s="637"/>
      <c r="B206" s="635"/>
      <c r="C206" s="632"/>
      <c r="D206" s="633"/>
      <c r="E206" s="61"/>
      <c r="F206" s="11" t="str">
        <f t="shared" si="3"/>
        <v/>
      </c>
    </row>
    <row r="207" spans="1:6" ht="14.4" hidden="1" customHeight="1" outlineLevel="1" x14ac:dyDescent="0.3">
      <c r="A207" s="637"/>
      <c r="B207" s="635"/>
      <c r="C207" s="632"/>
      <c r="D207" s="633"/>
      <c r="E207" s="61"/>
      <c r="F207" s="11" t="str">
        <f t="shared" si="3"/>
        <v/>
      </c>
    </row>
    <row r="208" spans="1:6" ht="14.4" hidden="1" customHeight="1" outlineLevel="1" x14ac:dyDescent="0.3">
      <c r="A208" s="637"/>
      <c r="B208" s="635"/>
      <c r="C208" s="632"/>
      <c r="D208" s="633"/>
      <c r="E208" s="61"/>
      <c r="F208" s="11" t="str">
        <f t="shared" si="3"/>
        <v/>
      </c>
    </row>
    <row r="209" spans="1:7" ht="14.4" hidden="1" customHeight="1" outlineLevel="1" x14ac:dyDescent="0.3">
      <c r="A209" s="637"/>
      <c r="B209" s="635"/>
      <c r="C209" s="632"/>
      <c r="D209" s="633"/>
      <c r="E209" s="61"/>
      <c r="F209" s="11" t="str">
        <f t="shared" si="3"/>
        <v/>
      </c>
    </row>
    <row r="210" spans="1:7" ht="14.4" hidden="1" customHeight="1" outlineLevel="1" x14ac:dyDescent="0.3">
      <c r="A210" s="637"/>
      <c r="B210" s="635"/>
      <c r="C210" s="632"/>
      <c r="D210" s="633"/>
      <c r="E210" s="61"/>
      <c r="F210" s="11" t="str">
        <f t="shared" si="3"/>
        <v/>
      </c>
    </row>
    <row r="211" spans="1:7" ht="14.4" hidden="1" customHeight="1" outlineLevel="1" x14ac:dyDescent="0.3">
      <c r="A211" s="637"/>
      <c r="B211" s="635"/>
      <c r="C211" s="632"/>
      <c r="D211" s="633"/>
      <c r="E211" s="61"/>
      <c r="F211" s="11" t="str">
        <f t="shared" si="3"/>
        <v/>
      </c>
    </row>
    <row r="212" spans="1:7" ht="14.4" hidden="1" customHeight="1" outlineLevel="1" x14ac:dyDescent="0.3">
      <c r="A212" s="637"/>
      <c r="B212" s="635"/>
      <c r="C212" s="632"/>
      <c r="D212" s="633"/>
      <c r="E212" s="61"/>
      <c r="F212" s="11" t="str">
        <f t="shared" si="3"/>
        <v/>
      </c>
    </row>
    <row r="213" spans="1:7" ht="14.4" hidden="1" customHeight="1" outlineLevel="1" x14ac:dyDescent="0.3">
      <c r="A213" s="637"/>
      <c r="B213" s="635"/>
      <c r="C213" s="632"/>
      <c r="D213" s="633"/>
      <c r="E213" s="61"/>
      <c r="F213" s="11" t="str">
        <f t="shared" si="3"/>
        <v/>
      </c>
    </row>
    <row r="214" spans="1:7" ht="14.4" hidden="1" customHeight="1" outlineLevel="1" x14ac:dyDescent="0.3">
      <c r="A214" s="637"/>
      <c r="B214" s="635"/>
      <c r="C214" s="632"/>
      <c r="D214" s="633"/>
      <c r="E214" s="61"/>
      <c r="F214" s="11" t="str">
        <f t="shared" si="3"/>
        <v/>
      </c>
    </row>
    <row r="215" spans="1:7" ht="14.4" hidden="1" customHeight="1" outlineLevel="1" x14ac:dyDescent="0.3">
      <c r="A215" s="637"/>
      <c r="B215" s="635"/>
      <c r="C215" s="632"/>
      <c r="D215" s="633"/>
      <c r="E215" s="61"/>
      <c r="F215" s="11" t="str">
        <f t="shared" si="3"/>
        <v/>
      </c>
    </row>
    <row r="216" spans="1:7" ht="14.4" hidden="1" customHeight="1" outlineLevel="1" x14ac:dyDescent="0.3">
      <c r="A216" s="637"/>
      <c r="B216" s="635"/>
      <c r="C216" s="632"/>
      <c r="D216" s="633"/>
      <c r="E216" s="61"/>
      <c r="F216" s="11" t="str">
        <f t="shared" si="3"/>
        <v/>
      </c>
    </row>
    <row r="217" spans="1:7" ht="14.4" hidden="1" customHeight="1" outlineLevel="1" x14ac:dyDescent="0.3">
      <c r="A217" s="637"/>
      <c r="B217" s="635"/>
      <c r="C217" s="632"/>
      <c r="D217" s="633"/>
      <c r="E217" s="61"/>
      <c r="F217" s="11" t="str">
        <f t="shared" si="3"/>
        <v/>
      </c>
    </row>
    <row r="218" spans="1:7" ht="14.4" hidden="1" customHeight="1" outlineLevel="1" x14ac:dyDescent="0.3">
      <c r="A218" s="637"/>
      <c r="B218" s="635"/>
      <c r="C218" s="632"/>
      <c r="D218" s="633"/>
      <c r="E218" s="61"/>
      <c r="F218" s="11" t="str">
        <f t="shared" si="3"/>
        <v/>
      </c>
    </row>
    <row r="219" spans="1:7" ht="14.4" hidden="1" customHeight="1" outlineLevel="1" x14ac:dyDescent="0.3">
      <c r="A219" s="637"/>
      <c r="B219" s="635"/>
      <c r="C219" s="632"/>
      <c r="D219" s="633"/>
      <c r="E219" s="61"/>
      <c r="F219" s="11" t="str">
        <f t="shared" si="3"/>
        <v/>
      </c>
    </row>
    <row r="220" spans="1:7" ht="14.4" hidden="1" customHeight="1" outlineLevel="1" x14ac:dyDescent="0.3">
      <c r="A220" s="637"/>
      <c r="B220" s="635"/>
      <c r="C220" s="632"/>
      <c r="D220" s="633"/>
      <c r="E220" s="61"/>
      <c r="F220" s="11" t="str">
        <f t="shared" ref="F220:F222" si="4">IF(AND($E$123 = "None", E220 &lt;&gt; ""), template_label_value_inconsistency,
IF(E220 = "", "",
IF(COUNTIF($E$123:$E$222, E220) &gt; 1,
   template_label_value_inconsistency,
   template_label_ok)))</f>
        <v/>
      </c>
    </row>
    <row r="221" spans="1:7" ht="14.4" hidden="1" customHeight="1" outlineLevel="1" x14ac:dyDescent="0.3">
      <c r="A221" s="637"/>
      <c r="B221" s="635"/>
      <c r="C221" s="632"/>
      <c r="D221" s="633"/>
      <c r="E221" s="61"/>
      <c r="F221" s="11" t="str">
        <f t="shared" si="4"/>
        <v/>
      </c>
    </row>
    <row r="222" spans="1:7" ht="14.4" hidden="1" customHeight="1" outlineLevel="1" x14ac:dyDescent="0.3">
      <c r="A222" s="637"/>
      <c r="B222" s="635"/>
      <c r="C222" s="632"/>
      <c r="D222" s="633"/>
      <c r="E222" s="61"/>
      <c r="F222" s="11" t="str">
        <f t="shared" si="4"/>
        <v/>
      </c>
    </row>
    <row r="223" spans="1:7" ht="28.8" collapsed="1" x14ac:dyDescent="0.3">
      <c r="A223" s="441" t="s">
        <v>3732</v>
      </c>
      <c r="B223" s="249" t="s">
        <v>1</v>
      </c>
      <c r="C223" s="601" t="str">
        <f>template_label_basis_for_reporting</f>
        <v>Basis for reporting (consolidated or individual basis)</v>
      </c>
      <c r="D223" s="602"/>
      <c r="E223" s="60" t="s">
        <v>9544</v>
      </c>
      <c r="F223" s="11" t="str">
        <f>IF(AND(OR(E122 = "Option A (Basic Module only)", E122 = "Option B (Basic Module and Comprehensive Module)"), E223 = ""),
    template_label_missing_value,
    IF(E122 = "", "", template_label_ok))</f>
        <v>OK</v>
      </c>
    </row>
    <row r="224" spans="1:7" x14ac:dyDescent="0.3">
      <c r="A224" s="597" t="s">
        <v>3947</v>
      </c>
      <c r="B224" s="612">
        <v>4</v>
      </c>
      <c r="C224" s="601" t="str">
        <f>template_label_undertakings_legal_form</f>
        <v>Undertakings legal form</v>
      </c>
      <c r="D224" s="602"/>
      <c r="E224" s="60" t="s">
        <v>2751</v>
      </c>
      <c r="F224" s="11" t="str">
        <f>IF(AND(OR(E122 = "Option A (Basic Module only)", E122 = "Option B (Basic Module and Comprehensive Module)"), E224 = ""),
    template_label_missing_value,
    IF(E122 = "", "", template_label_ok))</f>
        <v>OK</v>
      </c>
      <c r="G224" t="str">
        <f>template_label_other_warning</f>
        <v>ℹ️ When "other" is chosen as undertaking legal form please fill the row below</v>
      </c>
    </row>
    <row r="225" spans="1:7" x14ac:dyDescent="0.3">
      <c r="A225" s="611"/>
      <c r="B225" s="612"/>
      <c r="C225" s="613" t="str">
        <f>template_label_other_undertakings_legal_form_specification</f>
        <v>Other undertaking's legal form specification</v>
      </c>
      <c r="D225" s="614"/>
      <c r="E225" s="62"/>
      <c r="F225" s="11" t="str">
        <f>IF(AND(E224 = "other (please specify the legal form in the row below)", E225 &lt;&gt; ""),
    template_label_ok,
IF(AND(E224 = "other (please specify the legal form in the row below)", E225 = ""),
    template_label_missing_value,
IF(AND(E224 = "", E225 = ""),
    "",
IF(AND(E224 &lt;&gt; "other (please specify the legal form in the row below)", E225 = ""),
    "",
""))))</f>
        <v/>
      </c>
    </row>
    <row r="226" spans="1:7" ht="14.4" customHeight="1" x14ac:dyDescent="0.3">
      <c r="A226" s="597" t="s">
        <v>3733</v>
      </c>
      <c r="B226" s="599" t="s">
        <v>5638</v>
      </c>
      <c r="C226" s="607" t="str">
        <f>template_label_nace_sector_classification_code</f>
        <v>NACE sector classification code(s)</v>
      </c>
      <c r="D226" s="608"/>
      <c r="E226" s="60" t="s">
        <v>9545</v>
      </c>
      <c r="F226" s="11" t="str">
        <f>IF(OR(E122 = "Option A (Basic Module only)", E122 = "Option B (Basic Module and Comprehensive Module)"),
    IF(COUNTIF(enum_ListNACECategories, E226) &gt; 0, template_label_error,
        IF(E226 = "", template_label_missing_value,
            IF(COUNTIF($E$226:$E$325, E226) &gt; 1, template_label_value_inconsistency, template_label_ok)
        )
    ),
    ""
)</f>
        <v>OK</v>
      </c>
      <c r="G226" t="str">
        <f>template_label_NACE_warning</f>
        <v>ℹ️  Please select a NACE code rather than a category else an ERROR message will appear.</v>
      </c>
    </row>
    <row r="227" spans="1:7" ht="14.4" customHeight="1" x14ac:dyDescent="0.3">
      <c r="A227" s="598"/>
      <c r="B227" s="600"/>
      <c r="C227" s="609"/>
      <c r="D227" s="610"/>
      <c r="E227" s="60" t="s">
        <v>9546</v>
      </c>
      <c r="F227" s="11" t="str">
        <f t="shared" ref="F227:F258" si="5">IF(COUNTIF(enum_ListNACECategories, E227) &gt; 0, template_label_error,
IF(E227 = "", "",
IF(COUNTIF($E$226:$E$325, E227) &gt; 1, template_label_value_inconsistency, template_label_ok)))</f>
        <v>OK</v>
      </c>
    </row>
    <row r="228" spans="1:7" ht="14.4" customHeight="1" x14ac:dyDescent="0.3">
      <c r="A228" s="598"/>
      <c r="B228" s="600"/>
      <c r="C228" s="609"/>
      <c r="D228" s="610"/>
      <c r="E228" s="60"/>
      <c r="F228" s="11" t="str">
        <f t="shared" si="5"/>
        <v/>
      </c>
    </row>
    <row r="229" spans="1:7" ht="14.4" hidden="1" customHeight="1" outlineLevel="2" x14ac:dyDescent="0.3">
      <c r="A229" s="598"/>
      <c r="B229" s="600"/>
      <c r="C229" s="609"/>
      <c r="D229" s="610"/>
      <c r="E229" s="60"/>
      <c r="F229" s="11" t="str">
        <f t="shared" si="5"/>
        <v/>
      </c>
    </row>
    <row r="230" spans="1:7" ht="14.4" hidden="1" customHeight="1" outlineLevel="2" x14ac:dyDescent="0.3">
      <c r="A230" s="598"/>
      <c r="B230" s="600"/>
      <c r="C230" s="609"/>
      <c r="D230" s="610"/>
      <c r="E230" s="60"/>
      <c r="F230" s="11" t="str">
        <f t="shared" si="5"/>
        <v/>
      </c>
    </row>
    <row r="231" spans="1:7" ht="14.4" hidden="1" customHeight="1" outlineLevel="2" x14ac:dyDescent="0.3">
      <c r="A231" s="598"/>
      <c r="B231" s="600"/>
      <c r="C231" s="609"/>
      <c r="D231" s="610"/>
      <c r="E231" s="60"/>
      <c r="F231" s="11" t="str">
        <f t="shared" si="5"/>
        <v/>
      </c>
    </row>
    <row r="232" spans="1:7" ht="14.4" hidden="1" customHeight="1" outlineLevel="2" x14ac:dyDescent="0.3">
      <c r="A232" s="598"/>
      <c r="B232" s="600"/>
      <c r="C232" s="609"/>
      <c r="D232" s="610"/>
      <c r="E232" s="60"/>
      <c r="F232" s="11" t="str">
        <f t="shared" si="5"/>
        <v/>
      </c>
    </row>
    <row r="233" spans="1:7" ht="14.4" hidden="1" customHeight="1" outlineLevel="2" x14ac:dyDescent="0.3">
      <c r="A233" s="598"/>
      <c r="B233" s="600"/>
      <c r="C233" s="609"/>
      <c r="D233" s="610"/>
      <c r="E233" s="60"/>
      <c r="F233" s="11" t="str">
        <f t="shared" si="5"/>
        <v/>
      </c>
    </row>
    <row r="234" spans="1:7" ht="14.4" hidden="1" customHeight="1" outlineLevel="2" x14ac:dyDescent="0.3">
      <c r="A234" s="598"/>
      <c r="B234" s="600"/>
      <c r="C234" s="609"/>
      <c r="D234" s="610"/>
      <c r="E234" s="60"/>
      <c r="F234" s="11" t="str">
        <f t="shared" si="5"/>
        <v/>
      </c>
    </row>
    <row r="235" spans="1:7" ht="14.4" hidden="1" customHeight="1" outlineLevel="2" x14ac:dyDescent="0.3">
      <c r="A235" s="598"/>
      <c r="B235" s="600"/>
      <c r="C235" s="609"/>
      <c r="D235" s="610"/>
      <c r="E235" s="60"/>
      <c r="F235" s="11" t="str">
        <f t="shared" si="5"/>
        <v/>
      </c>
    </row>
    <row r="236" spans="1:7" ht="14.4" hidden="1" customHeight="1" outlineLevel="2" x14ac:dyDescent="0.3">
      <c r="A236" s="598"/>
      <c r="B236" s="600"/>
      <c r="C236" s="609"/>
      <c r="D236" s="610"/>
      <c r="E236" s="60"/>
      <c r="F236" s="11" t="str">
        <f t="shared" si="5"/>
        <v/>
      </c>
    </row>
    <row r="237" spans="1:7" ht="14.4" hidden="1" customHeight="1" outlineLevel="2" x14ac:dyDescent="0.3">
      <c r="A237" s="598"/>
      <c r="B237" s="600"/>
      <c r="C237" s="609"/>
      <c r="D237" s="610"/>
      <c r="E237" s="60"/>
      <c r="F237" s="11" t="str">
        <f t="shared" si="5"/>
        <v/>
      </c>
    </row>
    <row r="238" spans="1:7" ht="14.4" hidden="1" customHeight="1" outlineLevel="2" x14ac:dyDescent="0.3">
      <c r="A238" s="598"/>
      <c r="B238" s="600"/>
      <c r="C238" s="609"/>
      <c r="D238" s="610"/>
      <c r="E238" s="60"/>
      <c r="F238" s="11" t="str">
        <f t="shared" si="5"/>
        <v/>
      </c>
    </row>
    <row r="239" spans="1:7" ht="14.4" hidden="1" customHeight="1" outlineLevel="2" x14ac:dyDescent="0.3">
      <c r="A239" s="598"/>
      <c r="B239" s="600"/>
      <c r="C239" s="609"/>
      <c r="D239" s="610"/>
      <c r="E239" s="60"/>
      <c r="F239" s="11" t="str">
        <f t="shared" si="5"/>
        <v/>
      </c>
    </row>
    <row r="240" spans="1:7" ht="14.4" hidden="1" customHeight="1" outlineLevel="2" x14ac:dyDescent="0.3">
      <c r="A240" s="598"/>
      <c r="B240" s="600"/>
      <c r="C240" s="609"/>
      <c r="D240" s="610"/>
      <c r="E240" s="60"/>
      <c r="F240" s="11" t="str">
        <f t="shared" si="5"/>
        <v/>
      </c>
    </row>
    <row r="241" spans="1:6" ht="14.4" hidden="1" customHeight="1" outlineLevel="2" x14ac:dyDescent="0.3">
      <c r="A241" s="598"/>
      <c r="B241" s="600"/>
      <c r="C241" s="609"/>
      <c r="D241" s="610"/>
      <c r="E241" s="60"/>
      <c r="F241" s="11" t="str">
        <f t="shared" si="5"/>
        <v/>
      </c>
    </row>
    <row r="242" spans="1:6" ht="14.4" hidden="1" customHeight="1" outlineLevel="2" x14ac:dyDescent="0.3">
      <c r="A242" s="598"/>
      <c r="B242" s="600"/>
      <c r="C242" s="609"/>
      <c r="D242" s="610"/>
      <c r="E242" s="60"/>
      <c r="F242" s="11" t="str">
        <f t="shared" si="5"/>
        <v/>
      </c>
    </row>
    <row r="243" spans="1:6" ht="14.4" hidden="1" customHeight="1" outlineLevel="2" x14ac:dyDescent="0.3">
      <c r="A243" s="598"/>
      <c r="B243" s="600"/>
      <c r="C243" s="609"/>
      <c r="D243" s="610"/>
      <c r="E243" s="60"/>
      <c r="F243" s="11" t="str">
        <f t="shared" si="5"/>
        <v/>
      </c>
    </row>
    <row r="244" spans="1:6" ht="14.4" hidden="1" customHeight="1" outlineLevel="2" x14ac:dyDescent="0.3">
      <c r="A244" s="598"/>
      <c r="B244" s="600"/>
      <c r="C244" s="609"/>
      <c r="D244" s="610"/>
      <c r="E244" s="60"/>
      <c r="F244" s="11" t="str">
        <f t="shared" si="5"/>
        <v/>
      </c>
    </row>
    <row r="245" spans="1:6" ht="14.4" hidden="1" customHeight="1" outlineLevel="2" x14ac:dyDescent="0.3">
      <c r="A245" s="598"/>
      <c r="B245" s="600"/>
      <c r="C245" s="609"/>
      <c r="D245" s="610"/>
      <c r="E245" s="60"/>
      <c r="F245" s="11" t="str">
        <f t="shared" si="5"/>
        <v/>
      </c>
    </row>
    <row r="246" spans="1:6" ht="14.4" hidden="1" customHeight="1" outlineLevel="2" x14ac:dyDescent="0.3">
      <c r="A246" s="598"/>
      <c r="B246" s="600"/>
      <c r="C246" s="609"/>
      <c r="D246" s="610"/>
      <c r="E246" s="60"/>
      <c r="F246" s="11" t="str">
        <f t="shared" si="5"/>
        <v/>
      </c>
    </row>
    <row r="247" spans="1:6" ht="14.4" hidden="1" customHeight="1" outlineLevel="2" x14ac:dyDescent="0.3">
      <c r="A247" s="598"/>
      <c r="B247" s="600"/>
      <c r="C247" s="609"/>
      <c r="D247" s="610"/>
      <c r="E247" s="60"/>
      <c r="F247" s="11" t="str">
        <f t="shared" si="5"/>
        <v/>
      </c>
    </row>
    <row r="248" spans="1:6" ht="14.4" hidden="1" customHeight="1" outlineLevel="2" x14ac:dyDescent="0.3">
      <c r="A248" s="598"/>
      <c r="B248" s="600"/>
      <c r="C248" s="609"/>
      <c r="D248" s="610"/>
      <c r="E248" s="60"/>
      <c r="F248" s="11" t="str">
        <f t="shared" si="5"/>
        <v/>
      </c>
    </row>
    <row r="249" spans="1:6" ht="14.4" hidden="1" customHeight="1" outlineLevel="2" x14ac:dyDescent="0.3">
      <c r="A249" s="598"/>
      <c r="B249" s="600"/>
      <c r="C249" s="609"/>
      <c r="D249" s="610"/>
      <c r="E249" s="60"/>
      <c r="F249" s="11" t="str">
        <f t="shared" si="5"/>
        <v/>
      </c>
    </row>
    <row r="250" spans="1:6" ht="14.4" hidden="1" customHeight="1" outlineLevel="2" x14ac:dyDescent="0.3">
      <c r="A250" s="598"/>
      <c r="B250" s="600"/>
      <c r="C250" s="609"/>
      <c r="D250" s="610"/>
      <c r="E250" s="60"/>
      <c r="F250" s="11" t="str">
        <f t="shared" si="5"/>
        <v/>
      </c>
    </row>
    <row r="251" spans="1:6" ht="14.4" hidden="1" customHeight="1" outlineLevel="2" x14ac:dyDescent="0.3">
      <c r="A251" s="598"/>
      <c r="B251" s="600"/>
      <c r="C251" s="609"/>
      <c r="D251" s="610"/>
      <c r="E251" s="60"/>
      <c r="F251" s="11" t="str">
        <f t="shared" si="5"/>
        <v/>
      </c>
    </row>
    <row r="252" spans="1:6" ht="14.4" hidden="1" customHeight="1" outlineLevel="2" x14ac:dyDescent="0.3">
      <c r="A252" s="598"/>
      <c r="B252" s="600"/>
      <c r="C252" s="609"/>
      <c r="D252" s="610"/>
      <c r="E252" s="60"/>
      <c r="F252" s="11" t="str">
        <f t="shared" si="5"/>
        <v/>
      </c>
    </row>
    <row r="253" spans="1:6" ht="14.4" hidden="1" customHeight="1" outlineLevel="2" x14ac:dyDescent="0.3">
      <c r="A253" s="598"/>
      <c r="B253" s="600"/>
      <c r="C253" s="609"/>
      <c r="D253" s="610"/>
      <c r="E253" s="60"/>
      <c r="F253" s="11" t="str">
        <f t="shared" si="5"/>
        <v/>
      </c>
    </row>
    <row r="254" spans="1:6" ht="14.4" hidden="1" customHeight="1" outlineLevel="2" x14ac:dyDescent="0.3">
      <c r="A254" s="598"/>
      <c r="B254" s="600"/>
      <c r="C254" s="609"/>
      <c r="D254" s="610"/>
      <c r="E254" s="60"/>
      <c r="F254" s="11" t="str">
        <f t="shared" si="5"/>
        <v/>
      </c>
    </row>
    <row r="255" spans="1:6" ht="14.4" hidden="1" customHeight="1" outlineLevel="2" x14ac:dyDescent="0.3">
      <c r="A255" s="598"/>
      <c r="B255" s="600"/>
      <c r="C255" s="609"/>
      <c r="D255" s="610"/>
      <c r="E255" s="60"/>
      <c r="F255" s="11" t="str">
        <f t="shared" si="5"/>
        <v/>
      </c>
    </row>
    <row r="256" spans="1:6" ht="14.4" hidden="1" customHeight="1" outlineLevel="2" x14ac:dyDescent="0.3">
      <c r="A256" s="598"/>
      <c r="B256" s="600"/>
      <c r="C256" s="609"/>
      <c r="D256" s="610"/>
      <c r="E256" s="60"/>
      <c r="F256" s="11" t="str">
        <f t="shared" si="5"/>
        <v/>
      </c>
    </row>
    <row r="257" spans="1:6" ht="14.4" hidden="1" customHeight="1" outlineLevel="2" x14ac:dyDescent="0.3">
      <c r="A257" s="598"/>
      <c r="B257" s="600"/>
      <c r="C257" s="609"/>
      <c r="D257" s="610"/>
      <c r="E257" s="60"/>
      <c r="F257" s="11" t="str">
        <f t="shared" si="5"/>
        <v/>
      </c>
    </row>
    <row r="258" spans="1:6" ht="14.4" hidden="1" customHeight="1" outlineLevel="2" x14ac:dyDescent="0.3">
      <c r="A258" s="598"/>
      <c r="B258" s="600"/>
      <c r="C258" s="609"/>
      <c r="D258" s="610"/>
      <c r="E258" s="60"/>
      <c r="F258" s="11" t="str">
        <f t="shared" si="5"/>
        <v/>
      </c>
    </row>
    <row r="259" spans="1:6" ht="14.4" hidden="1" customHeight="1" outlineLevel="2" x14ac:dyDescent="0.3">
      <c r="A259" s="598"/>
      <c r="B259" s="600"/>
      <c r="C259" s="609"/>
      <c r="D259" s="610"/>
      <c r="E259" s="60"/>
      <c r="F259" s="11" t="str">
        <f t="shared" ref="F259:F290" si="6">IF(COUNTIF(enum_ListNACECategories, E259) &gt; 0, template_label_error,
IF(E259 = "", "",
IF(COUNTIF($E$226:$E$325, E259) &gt; 1, template_label_value_inconsistency, template_label_ok)))</f>
        <v/>
      </c>
    </row>
    <row r="260" spans="1:6" ht="14.4" hidden="1" customHeight="1" outlineLevel="2" x14ac:dyDescent="0.3">
      <c r="A260" s="598"/>
      <c r="B260" s="600"/>
      <c r="C260" s="609"/>
      <c r="D260" s="610"/>
      <c r="E260" s="60"/>
      <c r="F260" s="11" t="str">
        <f t="shared" si="6"/>
        <v/>
      </c>
    </row>
    <row r="261" spans="1:6" ht="14.4" hidden="1" customHeight="1" outlineLevel="2" x14ac:dyDescent="0.3">
      <c r="A261" s="598"/>
      <c r="B261" s="600"/>
      <c r="C261" s="609"/>
      <c r="D261" s="610"/>
      <c r="E261" s="60"/>
      <c r="F261" s="11" t="str">
        <f t="shared" si="6"/>
        <v/>
      </c>
    </row>
    <row r="262" spans="1:6" ht="14.4" hidden="1" customHeight="1" outlineLevel="2" x14ac:dyDescent="0.3">
      <c r="A262" s="598"/>
      <c r="B262" s="600"/>
      <c r="C262" s="609"/>
      <c r="D262" s="610"/>
      <c r="E262" s="60"/>
      <c r="F262" s="11" t="str">
        <f t="shared" si="6"/>
        <v/>
      </c>
    </row>
    <row r="263" spans="1:6" ht="14.4" hidden="1" customHeight="1" outlineLevel="2" x14ac:dyDescent="0.3">
      <c r="A263" s="598"/>
      <c r="B263" s="600"/>
      <c r="C263" s="609"/>
      <c r="D263" s="610"/>
      <c r="E263" s="60"/>
      <c r="F263" s="11" t="str">
        <f t="shared" si="6"/>
        <v/>
      </c>
    </row>
    <row r="264" spans="1:6" ht="14.4" hidden="1" customHeight="1" outlineLevel="2" x14ac:dyDescent="0.3">
      <c r="A264" s="598"/>
      <c r="B264" s="600"/>
      <c r="C264" s="609"/>
      <c r="D264" s="610"/>
      <c r="E264" s="60"/>
      <c r="F264" s="11" t="str">
        <f t="shared" si="6"/>
        <v/>
      </c>
    </row>
    <row r="265" spans="1:6" ht="14.4" hidden="1" customHeight="1" outlineLevel="2" x14ac:dyDescent="0.3">
      <c r="A265" s="598"/>
      <c r="B265" s="600"/>
      <c r="C265" s="609"/>
      <c r="D265" s="610"/>
      <c r="E265" s="60"/>
      <c r="F265" s="11" t="str">
        <f t="shared" si="6"/>
        <v/>
      </c>
    </row>
    <row r="266" spans="1:6" ht="14.4" hidden="1" customHeight="1" outlineLevel="2" x14ac:dyDescent="0.3">
      <c r="A266" s="598"/>
      <c r="B266" s="600"/>
      <c r="C266" s="609"/>
      <c r="D266" s="610"/>
      <c r="E266" s="60"/>
      <c r="F266" s="11" t="str">
        <f t="shared" si="6"/>
        <v/>
      </c>
    </row>
    <row r="267" spans="1:6" ht="14.4" hidden="1" customHeight="1" outlineLevel="2" x14ac:dyDescent="0.3">
      <c r="A267" s="598"/>
      <c r="B267" s="600"/>
      <c r="C267" s="609"/>
      <c r="D267" s="610"/>
      <c r="E267" s="60"/>
      <c r="F267" s="11" t="str">
        <f t="shared" si="6"/>
        <v/>
      </c>
    </row>
    <row r="268" spans="1:6" ht="14.4" hidden="1" customHeight="1" outlineLevel="2" x14ac:dyDescent="0.3">
      <c r="A268" s="598"/>
      <c r="B268" s="600"/>
      <c r="C268" s="609"/>
      <c r="D268" s="610"/>
      <c r="E268" s="60"/>
      <c r="F268" s="11" t="str">
        <f t="shared" si="6"/>
        <v/>
      </c>
    </row>
    <row r="269" spans="1:6" ht="14.4" hidden="1" customHeight="1" outlineLevel="2" x14ac:dyDescent="0.3">
      <c r="A269" s="598"/>
      <c r="B269" s="600"/>
      <c r="C269" s="609"/>
      <c r="D269" s="610"/>
      <c r="E269" s="60"/>
      <c r="F269" s="11" t="str">
        <f t="shared" si="6"/>
        <v/>
      </c>
    </row>
    <row r="270" spans="1:6" ht="14.4" hidden="1" customHeight="1" outlineLevel="2" x14ac:dyDescent="0.3">
      <c r="A270" s="598"/>
      <c r="B270" s="600"/>
      <c r="C270" s="609"/>
      <c r="D270" s="610"/>
      <c r="E270" s="60"/>
      <c r="F270" s="11" t="str">
        <f t="shared" si="6"/>
        <v/>
      </c>
    </row>
    <row r="271" spans="1:6" ht="14.4" hidden="1" customHeight="1" outlineLevel="2" x14ac:dyDescent="0.3">
      <c r="A271" s="598"/>
      <c r="B271" s="600"/>
      <c r="C271" s="609"/>
      <c r="D271" s="610"/>
      <c r="E271" s="60"/>
      <c r="F271" s="11" t="str">
        <f t="shared" si="6"/>
        <v/>
      </c>
    </row>
    <row r="272" spans="1:6" ht="14.4" hidden="1" customHeight="1" outlineLevel="2" x14ac:dyDescent="0.3">
      <c r="A272" s="598"/>
      <c r="B272" s="600"/>
      <c r="C272" s="609"/>
      <c r="D272" s="610"/>
      <c r="E272" s="60"/>
      <c r="F272" s="11" t="str">
        <f t="shared" si="6"/>
        <v/>
      </c>
    </row>
    <row r="273" spans="1:6" ht="14.4" hidden="1" customHeight="1" outlineLevel="2" x14ac:dyDescent="0.3">
      <c r="A273" s="598"/>
      <c r="B273" s="600"/>
      <c r="C273" s="609"/>
      <c r="D273" s="610"/>
      <c r="E273" s="60"/>
      <c r="F273" s="11" t="str">
        <f t="shared" si="6"/>
        <v/>
      </c>
    </row>
    <row r="274" spans="1:6" ht="14.4" hidden="1" customHeight="1" outlineLevel="2" x14ac:dyDescent="0.3">
      <c r="A274" s="598"/>
      <c r="B274" s="600"/>
      <c r="C274" s="609"/>
      <c r="D274" s="610"/>
      <c r="E274" s="60"/>
      <c r="F274" s="11" t="str">
        <f t="shared" si="6"/>
        <v/>
      </c>
    </row>
    <row r="275" spans="1:6" ht="14.4" hidden="1" customHeight="1" outlineLevel="2" x14ac:dyDescent="0.3">
      <c r="A275" s="598"/>
      <c r="B275" s="600"/>
      <c r="C275" s="609"/>
      <c r="D275" s="610"/>
      <c r="E275" s="60"/>
      <c r="F275" s="11" t="str">
        <f t="shared" si="6"/>
        <v/>
      </c>
    </row>
    <row r="276" spans="1:6" ht="14.4" hidden="1" customHeight="1" outlineLevel="2" x14ac:dyDescent="0.3">
      <c r="A276" s="598"/>
      <c r="B276" s="600"/>
      <c r="C276" s="609"/>
      <c r="D276" s="610"/>
      <c r="E276" s="60"/>
      <c r="F276" s="11" t="str">
        <f t="shared" si="6"/>
        <v/>
      </c>
    </row>
    <row r="277" spans="1:6" ht="14.4" hidden="1" customHeight="1" outlineLevel="2" x14ac:dyDescent="0.3">
      <c r="A277" s="598"/>
      <c r="B277" s="600"/>
      <c r="C277" s="609"/>
      <c r="D277" s="610"/>
      <c r="E277" s="60"/>
      <c r="F277" s="11" t="str">
        <f t="shared" si="6"/>
        <v/>
      </c>
    </row>
    <row r="278" spans="1:6" ht="14.4" hidden="1" customHeight="1" outlineLevel="2" x14ac:dyDescent="0.3">
      <c r="A278" s="598"/>
      <c r="B278" s="600"/>
      <c r="C278" s="609"/>
      <c r="D278" s="610"/>
      <c r="E278" s="60"/>
      <c r="F278" s="11" t="str">
        <f t="shared" si="6"/>
        <v/>
      </c>
    </row>
    <row r="279" spans="1:6" ht="14.4" hidden="1" customHeight="1" outlineLevel="2" x14ac:dyDescent="0.3">
      <c r="A279" s="598"/>
      <c r="B279" s="600"/>
      <c r="C279" s="609"/>
      <c r="D279" s="610"/>
      <c r="E279" s="60"/>
      <c r="F279" s="11" t="str">
        <f t="shared" si="6"/>
        <v/>
      </c>
    </row>
    <row r="280" spans="1:6" ht="14.4" hidden="1" customHeight="1" outlineLevel="2" x14ac:dyDescent="0.3">
      <c r="A280" s="598"/>
      <c r="B280" s="600"/>
      <c r="C280" s="609"/>
      <c r="D280" s="610"/>
      <c r="E280" s="60"/>
      <c r="F280" s="11" t="str">
        <f t="shared" si="6"/>
        <v/>
      </c>
    </row>
    <row r="281" spans="1:6" ht="14.4" hidden="1" customHeight="1" outlineLevel="2" x14ac:dyDescent="0.3">
      <c r="A281" s="598"/>
      <c r="B281" s="600"/>
      <c r="C281" s="609"/>
      <c r="D281" s="610"/>
      <c r="E281" s="60"/>
      <c r="F281" s="11" t="str">
        <f t="shared" si="6"/>
        <v/>
      </c>
    </row>
    <row r="282" spans="1:6" ht="14.4" hidden="1" customHeight="1" outlineLevel="2" x14ac:dyDescent="0.3">
      <c r="A282" s="598"/>
      <c r="B282" s="600"/>
      <c r="C282" s="609"/>
      <c r="D282" s="610"/>
      <c r="E282" s="60"/>
      <c r="F282" s="11" t="str">
        <f t="shared" si="6"/>
        <v/>
      </c>
    </row>
    <row r="283" spans="1:6" ht="14.4" hidden="1" customHeight="1" outlineLevel="2" x14ac:dyDescent="0.3">
      <c r="A283" s="598"/>
      <c r="B283" s="600"/>
      <c r="C283" s="609"/>
      <c r="D283" s="610"/>
      <c r="E283" s="60"/>
      <c r="F283" s="11" t="str">
        <f t="shared" si="6"/>
        <v/>
      </c>
    </row>
    <row r="284" spans="1:6" ht="14.4" hidden="1" customHeight="1" outlineLevel="2" x14ac:dyDescent="0.3">
      <c r="A284" s="598"/>
      <c r="B284" s="600"/>
      <c r="C284" s="609"/>
      <c r="D284" s="610"/>
      <c r="E284" s="60"/>
      <c r="F284" s="11" t="str">
        <f t="shared" si="6"/>
        <v/>
      </c>
    </row>
    <row r="285" spans="1:6" ht="14.4" hidden="1" customHeight="1" outlineLevel="2" x14ac:dyDescent="0.3">
      <c r="A285" s="598"/>
      <c r="B285" s="600"/>
      <c r="C285" s="609"/>
      <c r="D285" s="610"/>
      <c r="E285" s="60"/>
      <c r="F285" s="11" t="str">
        <f t="shared" si="6"/>
        <v/>
      </c>
    </row>
    <row r="286" spans="1:6" ht="14.4" hidden="1" customHeight="1" outlineLevel="2" x14ac:dyDescent="0.3">
      <c r="A286" s="598"/>
      <c r="B286" s="600"/>
      <c r="C286" s="609"/>
      <c r="D286" s="610"/>
      <c r="E286" s="60"/>
      <c r="F286" s="11" t="str">
        <f t="shared" si="6"/>
        <v/>
      </c>
    </row>
    <row r="287" spans="1:6" ht="14.4" hidden="1" customHeight="1" outlineLevel="2" x14ac:dyDescent="0.3">
      <c r="A287" s="598"/>
      <c r="B287" s="600"/>
      <c r="C287" s="609"/>
      <c r="D287" s="610"/>
      <c r="E287" s="60"/>
      <c r="F287" s="11" t="str">
        <f t="shared" si="6"/>
        <v/>
      </c>
    </row>
    <row r="288" spans="1:6" ht="14.4" hidden="1" customHeight="1" outlineLevel="2" x14ac:dyDescent="0.3">
      <c r="A288" s="598"/>
      <c r="B288" s="600"/>
      <c r="C288" s="609"/>
      <c r="D288" s="610"/>
      <c r="E288" s="60"/>
      <c r="F288" s="11" t="str">
        <f t="shared" si="6"/>
        <v/>
      </c>
    </row>
    <row r="289" spans="1:6" ht="14.4" hidden="1" customHeight="1" outlineLevel="2" x14ac:dyDescent="0.3">
      <c r="A289" s="598"/>
      <c r="B289" s="600"/>
      <c r="C289" s="609"/>
      <c r="D289" s="610"/>
      <c r="E289" s="60"/>
      <c r="F289" s="11" t="str">
        <f t="shared" si="6"/>
        <v/>
      </c>
    </row>
    <row r="290" spans="1:6" ht="14.4" hidden="1" customHeight="1" outlineLevel="2" x14ac:dyDescent="0.3">
      <c r="A290" s="598"/>
      <c r="B290" s="600"/>
      <c r="C290" s="609"/>
      <c r="D290" s="610"/>
      <c r="E290" s="60"/>
      <c r="F290" s="11" t="str">
        <f t="shared" si="6"/>
        <v/>
      </c>
    </row>
    <row r="291" spans="1:6" ht="14.4" hidden="1" customHeight="1" outlineLevel="2" x14ac:dyDescent="0.3">
      <c r="A291" s="598"/>
      <c r="B291" s="600"/>
      <c r="C291" s="609"/>
      <c r="D291" s="610"/>
      <c r="E291" s="60"/>
      <c r="F291" s="11" t="str">
        <f t="shared" ref="F291:F322" si="7">IF(COUNTIF(enum_ListNACECategories, E291) &gt; 0, template_label_error,
IF(E291 = "", "",
IF(COUNTIF($E$226:$E$325, E291) &gt; 1, template_label_value_inconsistency, template_label_ok)))</f>
        <v/>
      </c>
    </row>
    <row r="292" spans="1:6" ht="14.4" hidden="1" customHeight="1" outlineLevel="2" x14ac:dyDescent="0.3">
      <c r="A292" s="598"/>
      <c r="B292" s="600"/>
      <c r="C292" s="609"/>
      <c r="D292" s="610"/>
      <c r="E292" s="60"/>
      <c r="F292" s="11" t="str">
        <f t="shared" si="7"/>
        <v/>
      </c>
    </row>
    <row r="293" spans="1:6" ht="14.4" hidden="1" customHeight="1" outlineLevel="2" x14ac:dyDescent="0.3">
      <c r="A293" s="598"/>
      <c r="B293" s="600"/>
      <c r="C293" s="609"/>
      <c r="D293" s="610"/>
      <c r="E293" s="60"/>
      <c r="F293" s="11" t="str">
        <f t="shared" si="7"/>
        <v/>
      </c>
    </row>
    <row r="294" spans="1:6" ht="14.4" hidden="1" customHeight="1" outlineLevel="2" x14ac:dyDescent="0.3">
      <c r="A294" s="598"/>
      <c r="B294" s="600"/>
      <c r="C294" s="609"/>
      <c r="D294" s="610"/>
      <c r="E294" s="60"/>
      <c r="F294" s="11" t="str">
        <f t="shared" si="7"/>
        <v/>
      </c>
    </row>
    <row r="295" spans="1:6" ht="14.4" hidden="1" customHeight="1" outlineLevel="2" x14ac:dyDescent="0.3">
      <c r="A295" s="598"/>
      <c r="B295" s="600"/>
      <c r="C295" s="609"/>
      <c r="D295" s="610"/>
      <c r="E295" s="60"/>
      <c r="F295" s="11" t="str">
        <f t="shared" si="7"/>
        <v/>
      </c>
    </row>
    <row r="296" spans="1:6" ht="14.4" hidden="1" customHeight="1" outlineLevel="2" x14ac:dyDescent="0.3">
      <c r="A296" s="598"/>
      <c r="B296" s="600"/>
      <c r="C296" s="609"/>
      <c r="D296" s="610"/>
      <c r="E296" s="60"/>
      <c r="F296" s="11" t="str">
        <f t="shared" si="7"/>
        <v/>
      </c>
    </row>
    <row r="297" spans="1:6" ht="14.4" hidden="1" customHeight="1" outlineLevel="2" x14ac:dyDescent="0.3">
      <c r="A297" s="598"/>
      <c r="B297" s="600"/>
      <c r="C297" s="609"/>
      <c r="D297" s="610"/>
      <c r="E297" s="60"/>
      <c r="F297" s="11" t="str">
        <f t="shared" si="7"/>
        <v/>
      </c>
    </row>
    <row r="298" spans="1:6" ht="14.4" hidden="1" customHeight="1" outlineLevel="2" x14ac:dyDescent="0.3">
      <c r="A298" s="598"/>
      <c r="B298" s="600"/>
      <c r="C298" s="609"/>
      <c r="D298" s="610"/>
      <c r="E298" s="60"/>
      <c r="F298" s="11" t="str">
        <f t="shared" si="7"/>
        <v/>
      </c>
    </row>
    <row r="299" spans="1:6" ht="14.4" hidden="1" customHeight="1" outlineLevel="2" x14ac:dyDescent="0.3">
      <c r="A299" s="598"/>
      <c r="B299" s="600"/>
      <c r="C299" s="609"/>
      <c r="D299" s="610"/>
      <c r="E299" s="60"/>
      <c r="F299" s="11" t="str">
        <f t="shared" si="7"/>
        <v/>
      </c>
    </row>
    <row r="300" spans="1:6" ht="14.4" hidden="1" customHeight="1" outlineLevel="2" x14ac:dyDescent="0.3">
      <c r="A300" s="598"/>
      <c r="B300" s="600"/>
      <c r="C300" s="609"/>
      <c r="D300" s="610"/>
      <c r="E300" s="60"/>
      <c r="F300" s="11" t="str">
        <f t="shared" si="7"/>
        <v/>
      </c>
    </row>
    <row r="301" spans="1:6" ht="14.4" hidden="1" customHeight="1" outlineLevel="2" x14ac:dyDescent="0.3">
      <c r="A301" s="598"/>
      <c r="B301" s="600"/>
      <c r="C301" s="609"/>
      <c r="D301" s="610"/>
      <c r="E301" s="60"/>
      <c r="F301" s="11" t="str">
        <f t="shared" si="7"/>
        <v/>
      </c>
    </row>
    <row r="302" spans="1:6" ht="14.4" hidden="1" customHeight="1" outlineLevel="2" x14ac:dyDescent="0.3">
      <c r="A302" s="598"/>
      <c r="B302" s="600"/>
      <c r="C302" s="609"/>
      <c r="D302" s="610"/>
      <c r="E302" s="60"/>
      <c r="F302" s="11" t="str">
        <f t="shared" si="7"/>
        <v/>
      </c>
    </row>
    <row r="303" spans="1:6" ht="14.4" hidden="1" customHeight="1" outlineLevel="2" x14ac:dyDescent="0.3">
      <c r="A303" s="598"/>
      <c r="B303" s="600"/>
      <c r="C303" s="609"/>
      <c r="D303" s="610"/>
      <c r="E303" s="60"/>
      <c r="F303" s="11" t="str">
        <f t="shared" si="7"/>
        <v/>
      </c>
    </row>
    <row r="304" spans="1:6" ht="14.4" hidden="1" customHeight="1" outlineLevel="2" x14ac:dyDescent="0.3">
      <c r="A304" s="598"/>
      <c r="B304" s="600"/>
      <c r="C304" s="609"/>
      <c r="D304" s="610"/>
      <c r="E304" s="60"/>
      <c r="F304" s="11" t="str">
        <f t="shared" si="7"/>
        <v/>
      </c>
    </row>
    <row r="305" spans="1:6" ht="14.4" hidden="1" customHeight="1" outlineLevel="2" x14ac:dyDescent="0.3">
      <c r="A305" s="598"/>
      <c r="B305" s="600"/>
      <c r="C305" s="609"/>
      <c r="D305" s="610"/>
      <c r="E305" s="60"/>
      <c r="F305" s="11" t="str">
        <f t="shared" si="7"/>
        <v/>
      </c>
    </row>
    <row r="306" spans="1:6" ht="14.4" hidden="1" customHeight="1" outlineLevel="2" x14ac:dyDescent="0.3">
      <c r="A306" s="598"/>
      <c r="B306" s="600"/>
      <c r="C306" s="609"/>
      <c r="D306" s="610"/>
      <c r="E306" s="60"/>
      <c r="F306" s="11" t="str">
        <f t="shared" si="7"/>
        <v/>
      </c>
    </row>
    <row r="307" spans="1:6" ht="14.4" hidden="1" customHeight="1" outlineLevel="2" x14ac:dyDescent="0.3">
      <c r="A307" s="598"/>
      <c r="B307" s="600"/>
      <c r="C307" s="609"/>
      <c r="D307" s="610"/>
      <c r="E307" s="60"/>
      <c r="F307" s="11" t="str">
        <f t="shared" si="7"/>
        <v/>
      </c>
    </row>
    <row r="308" spans="1:6" ht="14.4" hidden="1" customHeight="1" outlineLevel="2" x14ac:dyDescent="0.3">
      <c r="A308" s="598"/>
      <c r="B308" s="600"/>
      <c r="C308" s="609"/>
      <c r="D308" s="610"/>
      <c r="E308" s="60"/>
      <c r="F308" s="11" t="str">
        <f t="shared" si="7"/>
        <v/>
      </c>
    </row>
    <row r="309" spans="1:6" ht="14.4" hidden="1" customHeight="1" outlineLevel="2" x14ac:dyDescent="0.3">
      <c r="A309" s="598"/>
      <c r="B309" s="600"/>
      <c r="C309" s="609"/>
      <c r="D309" s="610"/>
      <c r="E309" s="60"/>
      <c r="F309" s="11" t="str">
        <f t="shared" si="7"/>
        <v/>
      </c>
    </row>
    <row r="310" spans="1:6" ht="14.4" hidden="1" customHeight="1" outlineLevel="2" x14ac:dyDescent="0.3">
      <c r="A310" s="598"/>
      <c r="B310" s="600"/>
      <c r="C310" s="609"/>
      <c r="D310" s="610"/>
      <c r="E310" s="60"/>
      <c r="F310" s="11" t="str">
        <f t="shared" si="7"/>
        <v/>
      </c>
    </row>
    <row r="311" spans="1:6" ht="14.4" hidden="1" customHeight="1" outlineLevel="2" x14ac:dyDescent="0.3">
      <c r="A311" s="598"/>
      <c r="B311" s="600"/>
      <c r="C311" s="609"/>
      <c r="D311" s="610"/>
      <c r="E311" s="60"/>
      <c r="F311" s="11" t="str">
        <f t="shared" si="7"/>
        <v/>
      </c>
    </row>
    <row r="312" spans="1:6" ht="14.4" hidden="1" customHeight="1" outlineLevel="2" x14ac:dyDescent="0.3">
      <c r="A312" s="598"/>
      <c r="B312" s="600"/>
      <c r="C312" s="609"/>
      <c r="D312" s="610"/>
      <c r="E312" s="60"/>
      <c r="F312" s="11" t="str">
        <f t="shared" si="7"/>
        <v/>
      </c>
    </row>
    <row r="313" spans="1:6" ht="14.4" hidden="1" customHeight="1" outlineLevel="2" x14ac:dyDescent="0.3">
      <c r="A313" s="598"/>
      <c r="B313" s="600"/>
      <c r="C313" s="609"/>
      <c r="D313" s="610"/>
      <c r="E313" s="60"/>
      <c r="F313" s="11" t="str">
        <f t="shared" si="7"/>
        <v/>
      </c>
    </row>
    <row r="314" spans="1:6" ht="14.4" hidden="1" customHeight="1" outlineLevel="2" x14ac:dyDescent="0.3">
      <c r="A314" s="598"/>
      <c r="B314" s="600"/>
      <c r="C314" s="609"/>
      <c r="D314" s="610"/>
      <c r="E314" s="60"/>
      <c r="F314" s="11" t="str">
        <f t="shared" si="7"/>
        <v/>
      </c>
    </row>
    <row r="315" spans="1:6" ht="14.4" hidden="1" customHeight="1" outlineLevel="2" x14ac:dyDescent="0.3">
      <c r="A315" s="598"/>
      <c r="B315" s="600"/>
      <c r="C315" s="609"/>
      <c r="D315" s="610"/>
      <c r="E315" s="60"/>
      <c r="F315" s="11" t="str">
        <f t="shared" si="7"/>
        <v/>
      </c>
    </row>
    <row r="316" spans="1:6" ht="14.4" hidden="1" customHeight="1" outlineLevel="2" x14ac:dyDescent="0.3">
      <c r="A316" s="598"/>
      <c r="B316" s="600"/>
      <c r="C316" s="609"/>
      <c r="D316" s="610"/>
      <c r="E316" s="60"/>
      <c r="F316" s="11" t="str">
        <f t="shared" si="7"/>
        <v/>
      </c>
    </row>
    <row r="317" spans="1:6" ht="14.4" hidden="1" customHeight="1" outlineLevel="2" x14ac:dyDescent="0.3">
      <c r="A317" s="598"/>
      <c r="B317" s="600"/>
      <c r="C317" s="609"/>
      <c r="D317" s="610"/>
      <c r="E317" s="60"/>
      <c r="F317" s="11" t="str">
        <f t="shared" si="7"/>
        <v/>
      </c>
    </row>
    <row r="318" spans="1:6" ht="14.4" hidden="1" customHeight="1" outlineLevel="2" x14ac:dyDescent="0.3">
      <c r="A318" s="598"/>
      <c r="B318" s="600"/>
      <c r="C318" s="609"/>
      <c r="D318" s="610"/>
      <c r="E318" s="60"/>
      <c r="F318" s="11" t="str">
        <f t="shared" si="7"/>
        <v/>
      </c>
    </row>
    <row r="319" spans="1:6" ht="14.4" hidden="1" customHeight="1" outlineLevel="2" x14ac:dyDescent="0.3">
      <c r="A319" s="598"/>
      <c r="B319" s="600"/>
      <c r="C319" s="609"/>
      <c r="D319" s="610"/>
      <c r="E319" s="60"/>
      <c r="F319" s="11" t="str">
        <f t="shared" si="7"/>
        <v/>
      </c>
    </row>
    <row r="320" spans="1:6" ht="14.4" hidden="1" customHeight="1" outlineLevel="2" x14ac:dyDescent="0.3">
      <c r="A320" s="598"/>
      <c r="B320" s="600"/>
      <c r="C320" s="609"/>
      <c r="D320" s="610"/>
      <c r="E320" s="60"/>
      <c r="F320" s="11" t="str">
        <f t="shared" si="7"/>
        <v/>
      </c>
    </row>
    <row r="321" spans="1:7" ht="14.4" hidden="1" customHeight="1" outlineLevel="2" x14ac:dyDescent="0.3">
      <c r="A321" s="598"/>
      <c r="B321" s="600"/>
      <c r="C321" s="609"/>
      <c r="D321" s="610"/>
      <c r="E321" s="60"/>
      <c r="F321" s="11" t="str">
        <f t="shared" si="7"/>
        <v/>
      </c>
    </row>
    <row r="322" spans="1:7" ht="14.4" hidden="1" customHeight="1" outlineLevel="2" x14ac:dyDescent="0.3">
      <c r="A322" s="598"/>
      <c r="B322" s="600"/>
      <c r="C322" s="609"/>
      <c r="D322" s="610"/>
      <c r="E322" s="60"/>
      <c r="F322" s="11" t="str">
        <f t="shared" si="7"/>
        <v/>
      </c>
    </row>
    <row r="323" spans="1:7" ht="14.4" hidden="1" customHeight="1" outlineLevel="2" x14ac:dyDescent="0.3">
      <c r="A323" s="598"/>
      <c r="B323" s="600"/>
      <c r="C323" s="609"/>
      <c r="D323" s="610"/>
      <c r="E323" s="60"/>
      <c r="F323" s="11" t="str">
        <f t="shared" ref="F323:F325" si="8">IF(COUNTIF(enum_ListNACECategories, E323) &gt; 0, template_label_error,
IF(E323 = "", "",
IF(COUNTIF($E$226:$E$325, E323) &gt; 1, template_label_value_inconsistency, template_label_ok)))</f>
        <v/>
      </c>
    </row>
    <row r="324" spans="1:7" ht="14.4" hidden="1" customHeight="1" outlineLevel="2" x14ac:dyDescent="0.3">
      <c r="A324" s="598"/>
      <c r="B324" s="600"/>
      <c r="C324" s="609"/>
      <c r="D324" s="610"/>
      <c r="E324" s="60"/>
      <c r="F324" s="11" t="str">
        <f t="shared" si="8"/>
        <v/>
      </c>
    </row>
    <row r="325" spans="1:7" ht="14.4" hidden="1" customHeight="1" outlineLevel="2" x14ac:dyDescent="0.3">
      <c r="A325" s="598"/>
      <c r="B325" s="600"/>
      <c r="C325" s="609"/>
      <c r="D325" s="610"/>
      <c r="E325" s="60"/>
      <c r="F325" s="11" t="str">
        <f t="shared" si="8"/>
        <v/>
      </c>
    </row>
    <row r="326" spans="1:7" ht="14.4" customHeight="1" collapsed="1" x14ac:dyDescent="0.3">
      <c r="A326" s="441" t="s">
        <v>3734</v>
      </c>
      <c r="B326" s="249" t="s">
        <v>1</v>
      </c>
      <c r="C326" s="601" t="str">
        <f>template_label_size_of_balance_sheet_in &amp; " " &amp; template_currency</f>
        <v>Size of balance sheet (total assets) in EUR</v>
      </c>
      <c r="D326" s="602"/>
      <c r="E326" s="63">
        <v>600000</v>
      </c>
      <c r="F326" s="11" t="str">
        <f>IF(AND(OR(E122 = "Option A (Basic Module only)", E122 = "Option B (Basic Module and Comprehensive Module)"), E326 = ""),
    template_label_missing_value,
    IF(E122 = "", "", template_label_ok))</f>
        <v>OK</v>
      </c>
    </row>
    <row r="327" spans="1:7" ht="14.4" customHeight="1" x14ac:dyDescent="0.3">
      <c r="A327" s="441" t="s">
        <v>3735</v>
      </c>
      <c r="B327" s="249" t="s">
        <v>1</v>
      </c>
      <c r="C327" s="601" t="str">
        <f>template_label_turnover_in &amp; " " &amp; template_currency</f>
        <v>Turnover in EUR</v>
      </c>
      <c r="D327" s="602"/>
      <c r="E327" s="63">
        <v>235000</v>
      </c>
      <c r="F327" s="11" t="str">
        <f>IF(AND(OR(E122 = "Option A (Basic Module only)", E122 = "Option B (Basic Module and Comprehensive Module)"), E327 = ""),
    template_label_missing_value,
    IF(E122 = "", "", template_label_ok))</f>
        <v>OK</v>
      </c>
    </row>
    <row r="328" spans="1:7" ht="14.4" customHeight="1" x14ac:dyDescent="0.3">
      <c r="A328" s="441" t="s">
        <v>3725</v>
      </c>
      <c r="B328" s="445" t="s">
        <v>5639</v>
      </c>
      <c r="C328" s="601" t="str">
        <f>+template_label_number_of_employees</f>
        <v>Number of employees</v>
      </c>
      <c r="D328" s="602"/>
      <c r="E328" s="64">
        <v>151</v>
      </c>
      <c r="F328" s="11" t="str">
        <f>IF(AND(OR(E122 = "Option A (Basic Module only)", E122 = "Option B (Basic Module and Comprehensive Module)"), E328 = ""),
    template_label_missing_value,
    IF(E122 = "", "", template_label_ok))</f>
        <v>OK</v>
      </c>
    </row>
    <row r="329" spans="1:7" ht="14.4" customHeight="1" x14ac:dyDescent="0.3">
      <c r="A329" s="441" t="s">
        <v>3725</v>
      </c>
      <c r="B329" s="445" t="s">
        <v>5639</v>
      </c>
      <c r="C329" s="605" t="str">
        <f>template_label_employee_counting_methodology_end_of_reporting_period_or_average_during_the_reporting_period</f>
        <v>Employee counting methodology (At the end of reporting period or as an average during the reporting period)</v>
      </c>
      <c r="D329" s="606"/>
      <c r="E329" s="64" t="s">
        <v>3101</v>
      </c>
      <c r="F329" s="11" t="str">
        <f>IF(AND(OR(E122 = "Option A (Basic Module only)", E122 = "Option B (Basic Module and Comprehensive Module)"), E329 = ""),
    template_label_missing_value,
    IF(E122 = "", "", template_label_ok))</f>
        <v>OK</v>
      </c>
    </row>
    <row r="330" spans="1:7" ht="14.4" customHeight="1" x14ac:dyDescent="0.3">
      <c r="A330" s="441" t="s">
        <v>3725</v>
      </c>
      <c r="B330" s="445" t="s">
        <v>5639</v>
      </c>
      <c r="C330" s="601" t="str">
        <f>template_label_employee_counting_methodology_headcount_or_fulltime_equivalent</f>
        <v>Employee counting methodology (Headcount or Full-time equivalent)</v>
      </c>
      <c r="D330" s="602"/>
      <c r="E330" s="61" t="s">
        <v>9547</v>
      </c>
      <c r="F330" s="11" t="str">
        <f>IF(AND(OR(E122 = "Option A (Basic Module only)", E122 = "Option B (Basic Module and Comprehensive Module)"), E330 = ""),
    template_label_missing_value,
    IF(E122 = "", "", template_label_ok))</f>
        <v>OK</v>
      </c>
    </row>
    <row r="331" spans="1:7" ht="14.4" customHeight="1" thickBot="1" x14ac:dyDescent="0.35">
      <c r="A331" s="441" t="s">
        <v>3736</v>
      </c>
      <c r="B331" s="463" t="s">
        <v>5640</v>
      </c>
      <c r="C331" s="603" t="str">
        <f>template_label_country_of_primary_operations_and_location_of_significant_asset</f>
        <v>Country of primary operations and location of significant asset(s)</v>
      </c>
      <c r="D331" s="604"/>
      <c r="E331" s="65" t="s">
        <v>492</v>
      </c>
      <c r="F331" s="11" t="str">
        <f>IF(AND(OR(E122 = "Option A (Basic Module only)", E122 = "Option B (Basic Module and Comprehensive Module)"), E331 = ""),
    template_label_missing_value,
    IF(E122 = "", "", template_label_ok))</f>
        <v>OK</v>
      </c>
    </row>
    <row r="332" spans="1:7" ht="15" thickBot="1" x14ac:dyDescent="0.35">
      <c r="A332" s="247"/>
      <c r="B332" s="464"/>
    </row>
    <row r="333" spans="1:7" ht="14.4" customHeight="1" x14ac:dyDescent="0.3">
      <c r="A333" s="88"/>
      <c r="B333" s="88"/>
      <c r="C333" s="623" t="str">
        <f xml:space="preserve"> template_label_b1_list_of_subsidiaries &amp; " " &amp; template_label_from &amp; " " &amp; template_starting_date_display &amp; " " &amp; template_label_to &amp; " " &amp; template_ending_date_display &amp; " " &amp; template_label_if_applicable</f>
        <v>B1 - List of subsidiaries from 2024-01-01 to 2024-12-31 [If applicable]</v>
      </c>
      <c r="D333" s="624"/>
      <c r="E333" s="625"/>
    </row>
    <row r="334" spans="1:7" ht="14.4" customHeight="1" x14ac:dyDescent="0.3">
      <c r="A334" s="88"/>
      <c r="B334" s="88"/>
      <c r="C334" s="553" t="s">
        <v>3737</v>
      </c>
      <c r="D334" s="554"/>
      <c r="E334" s="555"/>
      <c r="F334" s="94"/>
    </row>
    <row r="335" spans="1:7" ht="14.4" customHeight="1" x14ac:dyDescent="0.3">
      <c r="A335" s="88"/>
      <c r="B335" s="88"/>
      <c r="C335" s="4" t="str">
        <f>template_label_id</f>
        <v>ID</v>
      </c>
      <c r="D335" t="str">
        <f>template_label_name</f>
        <v>Name</v>
      </c>
      <c r="E335" s="417" t="str">
        <f>template_label_registered_address</f>
        <v>Registered Address</v>
      </c>
    </row>
    <row r="336" spans="1:7" ht="14.4" customHeight="1" x14ac:dyDescent="0.3">
      <c r="A336" s="88"/>
      <c r="B336" s="88"/>
      <c r="C336" s="231">
        <v>1</v>
      </c>
      <c r="D336" s="467" t="s">
        <v>9548</v>
      </c>
      <c r="E336" s="70" t="s">
        <v>9549</v>
      </c>
      <c r="F336" s="11" t="str">
        <f>IF(AND(BasisForReporting="Sustainability report prepared on a consolidated basis", D336&lt;&gt;"", E336=""), template_label_missing_value,
IF(AND(BasisForReporting="Sustainability report prepared on a consolidated basis", D336&lt;&gt;"", E336&lt;&gt;""), template_label_ok,
IF(AND(BasisForReporting="Sustainability report prepared on a consolidated basis", D336="", E336=""), template_label_missing_value, "")))</f>
        <v>OK</v>
      </c>
      <c r="G336" t="str">
        <f>template_label_additional_rows_warning</f>
        <v>ℹ️  Lists can be expanded using the little [+] button on the left.  If the number of rows is not sufficient, those can be added by right clicking the second row and selecting "Insert row".</v>
      </c>
    </row>
    <row r="337" spans="1:6" ht="14.4" customHeight="1" x14ac:dyDescent="0.3">
      <c r="A337" s="88"/>
      <c r="B337" s="88"/>
      <c r="C337" s="382">
        <v>2</v>
      </c>
      <c r="D337" s="67"/>
      <c r="E337" s="68"/>
      <c r="F337" s="86" t="str">
        <f t="shared" ref="F337:F435" si="9">IF(AND(D337&lt;&gt;"",E337=""), template_label_missing_value,
IF(AND(D337&lt;&gt;"",E337&lt;&gt;""), template_label_ok,
IF(AND(D337="",E337=""), "", template_label_missing_value)))</f>
        <v/>
      </c>
    </row>
    <row r="338" spans="1:6" ht="14.4" customHeight="1" thickBot="1" x14ac:dyDescent="0.35">
      <c r="C338" s="233">
        <v>3</v>
      </c>
      <c r="D338" s="71"/>
      <c r="E338" s="66"/>
      <c r="F338" s="86" t="str">
        <f t="shared" si="9"/>
        <v/>
      </c>
    </row>
    <row r="339" spans="1:6" ht="14.4" hidden="1" customHeight="1" outlineLevel="1" x14ac:dyDescent="0.3">
      <c r="C339" s="232">
        <v>4</v>
      </c>
      <c r="D339" s="67"/>
      <c r="E339" s="68"/>
      <c r="F339" s="86" t="str">
        <f t="shared" si="9"/>
        <v/>
      </c>
    </row>
    <row r="340" spans="1:6" ht="14.4" hidden="1" customHeight="1" outlineLevel="1" x14ac:dyDescent="0.3">
      <c r="C340" s="232">
        <v>5</v>
      </c>
      <c r="D340" s="69"/>
      <c r="E340" s="70"/>
      <c r="F340" s="86" t="str">
        <f t="shared" si="9"/>
        <v/>
      </c>
    </row>
    <row r="341" spans="1:6" ht="14.4" hidden="1" customHeight="1" outlineLevel="1" x14ac:dyDescent="0.3">
      <c r="C341" s="231">
        <v>6</v>
      </c>
      <c r="D341" s="69"/>
      <c r="E341" s="70"/>
      <c r="F341" s="86" t="str">
        <f t="shared" si="9"/>
        <v/>
      </c>
    </row>
    <row r="342" spans="1:6" ht="14.4" hidden="1" customHeight="1" outlineLevel="1" x14ac:dyDescent="0.3">
      <c r="C342" s="231">
        <v>7</v>
      </c>
      <c r="D342" s="69"/>
      <c r="E342" s="70"/>
      <c r="F342" s="86" t="str">
        <f t="shared" si="9"/>
        <v/>
      </c>
    </row>
    <row r="343" spans="1:6" ht="14.4" hidden="1" customHeight="1" outlineLevel="1" x14ac:dyDescent="0.3">
      <c r="C343" s="232">
        <v>8</v>
      </c>
      <c r="D343" s="69"/>
      <c r="E343" s="70"/>
      <c r="F343" s="86" t="str">
        <f t="shared" si="9"/>
        <v/>
      </c>
    </row>
    <row r="344" spans="1:6" ht="14.4" hidden="1" customHeight="1" outlineLevel="1" x14ac:dyDescent="0.3">
      <c r="C344" s="231">
        <v>9</v>
      </c>
      <c r="D344" s="69"/>
      <c r="E344" s="70"/>
      <c r="F344" s="86" t="str">
        <f t="shared" si="9"/>
        <v/>
      </c>
    </row>
    <row r="345" spans="1:6" ht="14.4" hidden="1" customHeight="1" outlineLevel="1" x14ac:dyDescent="0.3">
      <c r="C345" s="231">
        <v>10</v>
      </c>
      <c r="D345" s="69"/>
      <c r="E345" s="70"/>
      <c r="F345" s="86" t="str">
        <f t="shared" si="9"/>
        <v/>
      </c>
    </row>
    <row r="346" spans="1:6" ht="14.4" hidden="1" customHeight="1" outlineLevel="1" x14ac:dyDescent="0.3">
      <c r="C346" s="232">
        <v>11</v>
      </c>
      <c r="D346" s="69"/>
      <c r="E346" s="70"/>
      <c r="F346" s="86" t="str">
        <f t="shared" si="9"/>
        <v/>
      </c>
    </row>
    <row r="347" spans="1:6" ht="14.4" hidden="1" customHeight="1" outlineLevel="1" x14ac:dyDescent="0.3">
      <c r="C347" s="231">
        <v>12</v>
      </c>
      <c r="D347" s="69"/>
      <c r="E347" s="70"/>
      <c r="F347" s="86" t="str">
        <f t="shared" si="9"/>
        <v/>
      </c>
    </row>
    <row r="348" spans="1:6" ht="14.4" hidden="1" customHeight="1" outlineLevel="1" x14ac:dyDescent="0.3">
      <c r="C348" s="231">
        <v>13</v>
      </c>
      <c r="D348" s="69"/>
      <c r="E348" s="70"/>
      <c r="F348" s="86" t="str">
        <f t="shared" si="9"/>
        <v/>
      </c>
    </row>
    <row r="349" spans="1:6" ht="14.4" hidden="1" customHeight="1" outlineLevel="1" x14ac:dyDescent="0.3">
      <c r="C349" s="232">
        <v>14</v>
      </c>
      <c r="D349" s="69"/>
      <c r="E349" s="70"/>
      <c r="F349" s="86" t="str">
        <f t="shared" si="9"/>
        <v/>
      </c>
    </row>
    <row r="350" spans="1:6" ht="14.4" hidden="1" customHeight="1" outlineLevel="1" x14ac:dyDescent="0.3">
      <c r="C350" s="231">
        <v>15</v>
      </c>
      <c r="D350" s="69"/>
      <c r="E350" s="70"/>
      <c r="F350" s="86" t="str">
        <f t="shared" si="9"/>
        <v/>
      </c>
    </row>
    <row r="351" spans="1:6" ht="14.4" hidden="1" customHeight="1" outlineLevel="1" x14ac:dyDescent="0.3">
      <c r="C351" s="231">
        <v>16</v>
      </c>
      <c r="D351" s="69"/>
      <c r="E351" s="70"/>
      <c r="F351" s="86" t="str">
        <f t="shared" si="9"/>
        <v/>
      </c>
    </row>
    <row r="352" spans="1:6" ht="14.4" hidden="1" customHeight="1" outlineLevel="1" x14ac:dyDescent="0.3">
      <c r="C352" s="232">
        <v>17</v>
      </c>
      <c r="D352" s="69"/>
      <c r="E352" s="70"/>
      <c r="F352" s="86" t="str">
        <f t="shared" si="9"/>
        <v/>
      </c>
    </row>
    <row r="353" spans="3:6" ht="14.4" hidden="1" customHeight="1" outlineLevel="1" x14ac:dyDescent="0.3">
      <c r="C353" s="231">
        <v>18</v>
      </c>
      <c r="D353" s="69"/>
      <c r="E353" s="70"/>
      <c r="F353" s="86" t="str">
        <f t="shared" si="9"/>
        <v/>
      </c>
    </row>
    <row r="354" spans="3:6" ht="14.4" hidden="1" customHeight="1" outlineLevel="1" x14ac:dyDescent="0.3">
      <c r="C354" s="231">
        <v>19</v>
      </c>
      <c r="D354" s="69"/>
      <c r="E354" s="70"/>
      <c r="F354" s="86" t="str">
        <f t="shared" si="9"/>
        <v/>
      </c>
    </row>
    <row r="355" spans="3:6" ht="14.4" hidden="1" customHeight="1" outlineLevel="1" x14ac:dyDescent="0.3">
      <c r="C355" s="232">
        <v>20</v>
      </c>
      <c r="D355" s="69"/>
      <c r="E355" s="70"/>
      <c r="F355" s="86" t="str">
        <f t="shared" si="9"/>
        <v/>
      </c>
    </row>
    <row r="356" spans="3:6" ht="14.4" hidden="1" customHeight="1" outlineLevel="1" x14ac:dyDescent="0.3">
      <c r="C356" s="231">
        <v>21</v>
      </c>
      <c r="D356" s="69"/>
      <c r="E356" s="70"/>
      <c r="F356" s="86" t="str">
        <f t="shared" si="9"/>
        <v/>
      </c>
    </row>
    <row r="357" spans="3:6" ht="14.4" hidden="1" customHeight="1" outlineLevel="1" x14ac:dyDescent="0.3">
      <c r="C357" s="231">
        <v>22</v>
      </c>
      <c r="D357" s="69"/>
      <c r="E357" s="70"/>
      <c r="F357" s="86" t="str">
        <f t="shared" si="9"/>
        <v/>
      </c>
    </row>
    <row r="358" spans="3:6" ht="14.4" hidden="1" customHeight="1" outlineLevel="1" x14ac:dyDescent="0.3">
      <c r="C358" s="232">
        <v>23</v>
      </c>
      <c r="D358" s="69"/>
      <c r="E358" s="70"/>
      <c r="F358" s="86" t="str">
        <f t="shared" si="9"/>
        <v/>
      </c>
    </row>
    <row r="359" spans="3:6" ht="14.4" hidden="1" customHeight="1" outlineLevel="1" x14ac:dyDescent="0.3">
      <c r="C359" s="231">
        <v>24</v>
      </c>
      <c r="D359" s="69"/>
      <c r="E359" s="70"/>
      <c r="F359" s="86" t="str">
        <f t="shared" si="9"/>
        <v/>
      </c>
    </row>
    <row r="360" spans="3:6" ht="14.4" hidden="1" customHeight="1" outlineLevel="1" x14ac:dyDescent="0.3">
      <c r="C360" s="231">
        <v>25</v>
      </c>
      <c r="D360" s="69"/>
      <c r="E360" s="70"/>
      <c r="F360" s="86" t="str">
        <f t="shared" si="9"/>
        <v/>
      </c>
    </row>
    <row r="361" spans="3:6" ht="14.4" hidden="1" customHeight="1" outlineLevel="1" x14ac:dyDescent="0.3">
      <c r="C361" s="232">
        <v>26</v>
      </c>
      <c r="D361" s="69"/>
      <c r="E361" s="70"/>
      <c r="F361" s="86" t="str">
        <f t="shared" si="9"/>
        <v/>
      </c>
    </row>
    <row r="362" spans="3:6" ht="14.4" hidden="1" customHeight="1" outlineLevel="1" x14ac:dyDescent="0.3">
      <c r="C362" s="231">
        <v>27</v>
      </c>
      <c r="D362" s="69"/>
      <c r="E362" s="70"/>
      <c r="F362" s="86" t="str">
        <f t="shared" si="9"/>
        <v/>
      </c>
    </row>
    <row r="363" spans="3:6" ht="14.4" hidden="1" customHeight="1" outlineLevel="1" x14ac:dyDescent="0.3">
      <c r="C363" s="231">
        <v>28</v>
      </c>
      <c r="D363" s="69"/>
      <c r="E363" s="70"/>
      <c r="F363" s="86" t="str">
        <f t="shared" si="9"/>
        <v/>
      </c>
    </row>
    <row r="364" spans="3:6" ht="14.4" hidden="1" customHeight="1" outlineLevel="1" x14ac:dyDescent="0.3">
      <c r="C364" s="232">
        <v>29</v>
      </c>
      <c r="D364" s="69"/>
      <c r="E364" s="70"/>
      <c r="F364" s="86" t="str">
        <f t="shared" si="9"/>
        <v/>
      </c>
    </row>
    <row r="365" spans="3:6" ht="14.4" hidden="1" customHeight="1" outlineLevel="1" x14ac:dyDescent="0.3">
      <c r="C365" s="231">
        <v>30</v>
      </c>
      <c r="D365" s="69"/>
      <c r="E365" s="70"/>
      <c r="F365" s="86" t="str">
        <f t="shared" si="9"/>
        <v/>
      </c>
    </row>
    <row r="366" spans="3:6" ht="14.4" hidden="1" customHeight="1" outlineLevel="1" x14ac:dyDescent="0.3">
      <c r="C366" s="231">
        <v>31</v>
      </c>
      <c r="D366" s="69"/>
      <c r="E366" s="70"/>
      <c r="F366" s="86" t="str">
        <f t="shared" si="9"/>
        <v/>
      </c>
    </row>
    <row r="367" spans="3:6" ht="14.4" hidden="1" customHeight="1" outlineLevel="1" x14ac:dyDescent="0.3">
      <c r="C367" s="232">
        <v>32</v>
      </c>
      <c r="D367" s="69"/>
      <c r="E367" s="70"/>
      <c r="F367" s="86" t="str">
        <f t="shared" si="9"/>
        <v/>
      </c>
    </row>
    <row r="368" spans="3:6" ht="14.4" hidden="1" customHeight="1" outlineLevel="1" x14ac:dyDescent="0.3">
      <c r="C368" s="231">
        <v>33</v>
      </c>
      <c r="D368" s="69"/>
      <c r="E368" s="70"/>
      <c r="F368" s="86" t="str">
        <f t="shared" si="9"/>
        <v/>
      </c>
    </row>
    <row r="369" spans="3:6" ht="14.4" hidden="1" customHeight="1" outlineLevel="1" x14ac:dyDescent="0.3">
      <c r="C369" s="231">
        <v>34</v>
      </c>
      <c r="D369" s="69"/>
      <c r="E369" s="70"/>
      <c r="F369" s="86" t="str">
        <f t="shared" si="9"/>
        <v/>
      </c>
    </row>
    <row r="370" spans="3:6" ht="14.4" hidden="1" customHeight="1" outlineLevel="1" x14ac:dyDescent="0.3">
      <c r="C370" s="232">
        <v>35</v>
      </c>
      <c r="D370" s="69"/>
      <c r="E370" s="70"/>
      <c r="F370" s="86" t="str">
        <f t="shared" si="9"/>
        <v/>
      </c>
    </row>
    <row r="371" spans="3:6" ht="14.4" hidden="1" customHeight="1" outlineLevel="1" x14ac:dyDescent="0.3">
      <c r="C371" s="231">
        <v>36</v>
      </c>
      <c r="D371" s="69"/>
      <c r="E371" s="70"/>
      <c r="F371" s="86" t="str">
        <f t="shared" si="9"/>
        <v/>
      </c>
    </row>
    <row r="372" spans="3:6" ht="14.4" hidden="1" customHeight="1" outlineLevel="1" x14ac:dyDescent="0.3">
      <c r="C372" s="231">
        <v>37</v>
      </c>
      <c r="D372" s="69"/>
      <c r="E372" s="70"/>
      <c r="F372" s="86" t="str">
        <f t="shared" si="9"/>
        <v/>
      </c>
    </row>
    <row r="373" spans="3:6" ht="14.4" hidden="1" customHeight="1" outlineLevel="1" x14ac:dyDescent="0.3">
      <c r="C373" s="232">
        <v>38</v>
      </c>
      <c r="D373" s="69"/>
      <c r="E373" s="70"/>
      <c r="F373" s="86" t="str">
        <f t="shared" si="9"/>
        <v/>
      </c>
    </row>
    <row r="374" spans="3:6" ht="14.4" hidden="1" customHeight="1" outlineLevel="1" x14ac:dyDescent="0.3">
      <c r="C374" s="231">
        <v>39</v>
      </c>
      <c r="D374" s="69"/>
      <c r="E374" s="70"/>
      <c r="F374" s="86" t="str">
        <f t="shared" si="9"/>
        <v/>
      </c>
    </row>
    <row r="375" spans="3:6" ht="14.4" hidden="1" customHeight="1" outlineLevel="1" x14ac:dyDescent="0.3">
      <c r="C375" s="231">
        <v>40</v>
      </c>
      <c r="D375" s="69"/>
      <c r="E375" s="70"/>
      <c r="F375" s="86" t="str">
        <f t="shared" si="9"/>
        <v/>
      </c>
    </row>
    <row r="376" spans="3:6" ht="14.4" hidden="1" customHeight="1" outlineLevel="1" x14ac:dyDescent="0.3">
      <c r="C376" s="232">
        <v>41</v>
      </c>
      <c r="D376" s="69"/>
      <c r="E376" s="70"/>
      <c r="F376" s="86" t="str">
        <f t="shared" si="9"/>
        <v/>
      </c>
    </row>
    <row r="377" spans="3:6" ht="14.4" hidden="1" customHeight="1" outlineLevel="1" x14ac:dyDescent="0.3">
      <c r="C377" s="231">
        <v>42</v>
      </c>
      <c r="D377" s="69"/>
      <c r="E377" s="70"/>
      <c r="F377" s="86" t="str">
        <f t="shared" si="9"/>
        <v/>
      </c>
    </row>
    <row r="378" spans="3:6" ht="14.4" hidden="1" customHeight="1" outlineLevel="1" x14ac:dyDescent="0.3">
      <c r="C378" s="231">
        <v>43</v>
      </c>
      <c r="D378" s="69"/>
      <c r="E378" s="70"/>
      <c r="F378" s="86" t="str">
        <f t="shared" si="9"/>
        <v/>
      </c>
    </row>
    <row r="379" spans="3:6" ht="14.4" hidden="1" customHeight="1" outlineLevel="1" x14ac:dyDescent="0.3">
      <c r="C379" s="232">
        <v>44</v>
      </c>
      <c r="D379" s="69"/>
      <c r="E379" s="70"/>
      <c r="F379" s="86" t="str">
        <f t="shared" si="9"/>
        <v/>
      </c>
    </row>
    <row r="380" spans="3:6" ht="14.4" hidden="1" customHeight="1" outlineLevel="1" x14ac:dyDescent="0.3">
      <c r="C380" s="231">
        <v>45</v>
      </c>
      <c r="D380" s="69"/>
      <c r="E380" s="70"/>
      <c r="F380" s="86" t="str">
        <f t="shared" si="9"/>
        <v/>
      </c>
    </row>
    <row r="381" spans="3:6" ht="14.4" hidden="1" customHeight="1" outlineLevel="1" x14ac:dyDescent="0.3">
      <c r="C381" s="231">
        <v>46</v>
      </c>
      <c r="D381" s="69"/>
      <c r="E381" s="70"/>
      <c r="F381" s="86" t="str">
        <f t="shared" si="9"/>
        <v/>
      </c>
    </row>
    <row r="382" spans="3:6" ht="14.4" hidden="1" customHeight="1" outlineLevel="1" x14ac:dyDescent="0.3">
      <c r="C382" s="232">
        <v>47</v>
      </c>
      <c r="D382" s="69"/>
      <c r="E382" s="70"/>
      <c r="F382" s="86" t="str">
        <f t="shared" si="9"/>
        <v/>
      </c>
    </row>
    <row r="383" spans="3:6" ht="14.4" hidden="1" customHeight="1" outlineLevel="1" x14ac:dyDescent="0.3">
      <c r="C383" s="231">
        <v>48</v>
      </c>
      <c r="D383" s="69"/>
      <c r="E383" s="70"/>
      <c r="F383" s="86" t="str">
        <f t="shared" si="9"/>
        <v/>
      </c>
    </row>
    <row r="384" spans="3:6" ht="14.4" hidden="1" customHeight="1" outlineLevel="1" x14ac:dyDescent="0.3">
      <c r="C384" s="231">
        <v>49</v>
      </c>
      <c r="D384" s="69"/>
      <c r="E384" s="70"/>
      <c r="F384" s="86" t="str">
        <f t="shared" si="9"/>
        <v/>
      </c>
    </row>
    <row r="385" spans="3:6" ht="14.4" hidden="1" customHeight="1" outlineLevel="1" x14ac:dyDescent="0.3">
      <c r="C385" s="232">
        <v>50</v>
      </c>
      <c r="D385" s="69"/>
      <c r="E385" s="70"/>
      <c r="F385" s="86" t="str">
        <f t="shared" si="9"/>
        <v/>
      </c>
    </row>
    <row r="386" spans="3:6" ht="14.4" hidden="1" customHeight="1" outlineLevel="1" x14ac:dyDescent="0.3">
      <c r="C386" s="231">
        <v>51</v>
      </c>
      <c r="D386" s="69"/>
      <c r="E386" s="70"/>
      <c r="F386" s="86" t="str">
        <f t="shared" si="9"/>
        <v/>
      </c>
    </row>
    <row r="387" spans="3:6" ht="14.4" hidden="1" customHeight="1" outlineLevel="1" x14ac:dyDescent="0.3">
      <c r="C387" s="231">
        <v>52</v>
      </c>
      <c r="D387" s="69"/>
      <c r="E387" s="70"/>
      <c r="F387" s="86" t="str">
        <f t="shared" si="9"/>
        <v/>
      </c>
    </row>
    <row r="388" spans="3:6" ht="14.4" hidden="1" customHeight="1" outlineLevel="1" x14ac:dyDescent="0.3">
      <c r="C388" s="232">
        <v>53</v>
      </c>
      <c r="D388" s="69"/>
      <c r="E388" s="70"/>
      <c r="F388" s="86" t="str">
        <f t="shared" si="9"/>
        <v/>
      </c>
    </row>
    <row r="389" spans="3:6" ht="14.4" hidden="1" customHeight="1" outlineLevel="1" x14ac:dyDescent="0.3">
      <c r="C389" s="231">
        <v>54</v>
      </c>
      <c r="D389" s="69"/>
      <c r="E389" s="70"/>
      <c r="F389" s="86" t="str">
        <f t="shared" si="9"/>
        <v/>
      </c>
    </row>
    <row r="390" spans="3:6" ht="14.4" hidden="1" customHeight="1" outlineLevel="1" x14ac:dyDescent="0.3">
      <c r="C390" s="231">
        <v>55</v>
      </c>
      <c r="D390" s="69"/>
      <c r="E390" s="70"/>
      <c r="F390" s="86" t="str">
        <f t="shared" si="9"/>
        <v/>
      </c>
    </row>
    <row r="391" spans="3:6" ht="14.4" hidden="1" customHeight="1" outlineLevel="1" x14ac:dyDescent="0.3">
      <c r="C391" s="232">
        <v>56</v>
      </c>
      <c r="D391" s="69"/>
      <c r="E391" s="70"/>
      <c r="F391" s="86" t="str">
        <f t="shared" si="9"/>
        <v/>
      </c>
    </row>
    <row r="392" spans="3:6" ht="14.4" hidden="1" customHeight="1" outlineLevel="1" x14ac:dyDescent="0.3">
      <c r="C392" s="231">
        <v>57</v>
      </c>
      <c r="D392" s="69"/>
      <c r="E392" s="70"/>
      <c r="F392" s="86" t="str">
        <f t="shared" si="9"/>
        <v/>
      </c>
    </row>
    <row r="393" spans="3:6" ht="14.4" hidden="1" customHeight="1" outlineLevel="1" x14ac:dyDescent="0.3">
      <c r="C393" s="231">
        <v>58</v>
      </c>
      <c r="D393" s="69"/>
      <c r="E393" s="70"/>
      <c r="F393" s="86" t="str">
        <f t="shared" si="9"/>
        <v/>
      </c>
    </row>
    <row r="394" spans="3:6" ht="14.4" hidden="1" customHeight="1" outlineLevel="1" x14ac:dyDescent="0.3">
      <c r="C394" s="232">
        <v>59</v>
      </c>
      <c r="D394" s="69"/>
      <c r="E394" s="70"/>
      <c r="F394" s="86" t="str">
        <f t="shared" si="9"/>
        <v/>
      </c>
    </row>
    <row r="395" spans="3:6" ht="14.4" hidden="1" customHeight="1" outlineLevel="1" x14ac:dyDescent="0.3">
      <c r="C395" s="231">
        <v>60</v>
      </c>
      <c r="D395" s="69"/>
      <c r="E395" s="70"/>
      <c r="F395" s="86" t="str">
        <f t="shared" si="9"/>
        <v/>
      </c>
    </row>
    <row r="396" spans="3:6" ht="14.4" hidden="1" customHeight="1" outlineLevel="1" x14ac:dyDescent="0.3">
      <c r="C396" s="231">
        <v>61</v>
      </c>
      <c r="D396" s="69"/>
      <c r="E396" s="70"/>
      <c r="F396" s="86" t="str">
        <f t="shared" si="9"/>
        <v/>
      </c>
    </row>
    <row r="397" spans="3:6" ht="14.4" hidden="1" customHeight="1" outlineLevel="1" x14ac:dyDescent="0.3">
      <c r="C397" s="232">
        <v>62</v>
      </c>
      <c r="D397" s="69"/>
      <c r="E397" s="70"/>
      <c r="F397" s="86" t="str">
        <f t="shared" si="9"/>
        <v/>
      </c>
    </row>
    <row r="398" spans="3:6" ht="14.4" hidden="1" customHeight="1" outlineLevel="1" x14ac:dyDescent="0.3">
      <c r="C398" s="231">
        <v>63</v>
      </c>
      <c r="D398" s="69"/>
      <c r="E398" s="70"/>
      <c r="F398" s="86" t="str">
        <f t="shared" si="9"/>
        <v/>
      </c>
    </row>
    <row r="399" spans="3:6" ht="14.4" hidden="1" customHeight="1" outlineLevel="1" x14ac:dyDescent="0.3">
      <c r="C399" s="231">
        <v>64</v>
      </c>
      <c r="D399" s="69"/>
      <c r="E399" s="70"/>
      <c r="F399" s="86" t="str">
        <f t="shared" si="9"/>
        <v/>
      </c>
    </row>
    <row r="400" spans="3:6" ht="14.4" hidden="1" customHeight="1" outlineLevel="1" x14ac:dyDescent="0.3">
      <c r="C400" s="232">
        <v>65</v>
      </c>
      <c r="D400" s="69"/>
      <c r="E400" s="70"/>
      <c r="F400" s="86" t="str">
        <f t="shared" si="9"/>
        <v/>
      </c>
    </row>
    <row r="401" spans="3:6" ht="14.4" hidden="1" customHeight="1" outlineLevel="1" x14ac:dyDescent="0.3">
      <c r="C401" s="231">
        <v>66</v>
      </c>
      <c r="D401" s="69"/>
      <c r="E401" s="70"/>
      <c r="F401" s="86" t="str">
        <f t="shared" si="9"/>
        <v/>
      </c>
    </row>
    <row r="402" spans="3:6" ht="14.4" hidden="1" customHeight="1" outlineLevel="1" x14ac:dyDescent="0.3">
      <c r="C402" s="231">
        <v>67</v>
      </c>
      <c r="D402" s="69"/>
      <c r="E402" s="70"/>
      <c r="F402" s="86" t="str">
        <f t="shared" si="9"/>
        <v/>
      </c>
    </row>
    <row r="403" spans="3:6" ht="14.4" hidden="1" customHeight="1" outlineLevel="1" x14ac:dyDescent="0.3">
      <c r="C403" s="232">
        <v>68</v>
      </c>
      <c r="D403" s="69"/>
      <c r="E403" s="70"/>
      <c r="F403" s="86" t="str">
        <f t="shared" si="9"/>
        <v/>
      </c>
    </row>
    <row r="404" spans="3:6" ht="14.4" hidden="1" customHeight="1" outlineLevel="1" x14ac:dyDescent="0.3">
      <c r="C404" s="231">
        <v>69</v>
      </c>
      <c r="D404" s="69"/>
      <c r="E404" s="70"/>
      <c r="F404" s="86" t="str">
        <f t="shared" si="9"/>
        <v/>
      </c>
    </row>
    <row r="405" spans="3:6" ht="14.4" hidden="1" customHeight="1" outlineLevel="1" x14ac:dyDescent="0.3">
      <c r="C405" s="231">
        <v>70</v>
      </c>
      <c r="D405" s="69"/>
      <c r="E405" s="70"/>
      <c r="F405" s="86" t="str">
        <f t="shared" si="9"/>
        <v/>
      </c>
    </row>
    <row r="406" spans="3:6" ht="14.4" hidden="1" customHeight="1" outlineLevel="1" x14ac:dyDescent="0.3">
      <c r="C406" s="232">
        <v>71</v>
      </c>
      <c r="D406" s="69"/>
      <c r="E406" s="70"/>
      <c r="F406" s="86" t="str">
        <f t="shared" si="9"/>
        <v/>
      </c>
    </row>
    <row r="407" spans="3:6" ht="14.4" hidden="1" customHeight="1" outlineLevel="1" x14ac:dyDescent="0.3">
      <c r="C407" s="231">
        <v>72</v>
      </c>
      <c r="D407" s="69"/>
      <c r="E407" s="70"/>
      <c r="F407" s="86" t="str">
        <f t="shared" si="9"/>
        <v/>
      </c>
    </row>
    <row r="408" spans="3:6" ht="14.4" hidden="1" customHeight="1" outlineLevel="1" x14ac:dyDescent="0.3">
      <c r="C408" s="231">
        <v>73</v>
      </c>
      <c r="D408" s="69"/>
      <c r="E408" s="70"/>
      <c r="F408" s="86" t="str">
        <f t="shared" si="9"/>
        <v/>
      </c>
    </row>
    <row r="409" spans="3:6" ht="14.4" hidden="1" customHeight="1" outlineLevel="1" x14ac:dyDescent="0.3">
      <c r="C409" s="232">
        <v>74</v>
      </c>
      <c r="D409" s="69"/>
      <c r="E409" s="70"/>
      <c r="F409" s="86" t="str">
        <f t="shared" si="9"/>
        <v/>
      </c>
    </row>
    <row r="410" spans="3:6" ht="14.4" hidden="1" customHeight="1" outlineLevel="1" x14ac:dyDescent="0.3">
      <c r="C410" s="231">
        <v>75</v>
      </c>
      <c r="D410" s="69"/>
      <c r="E410" s="70"/>
      <c r="F410" s="86" t="str">
        <f t="shared" si="9"/>
        <v/>
      </c>
    </row>
    <row r="411" spans="3:6" ht="14.4" hidden="1" customHeight="1" outlineLevel="1" x14ac:dyDescent="0.3">
      <c r="C411" s="231">
        <v>76</v>
      </c>
      <c r="D411" s="69"/>
      <c r="E411" s="70"/>
      <c r="F411" s="86" t="str">
        <f t="shared" si="9"/>
        <v/>
      </c>
    </row>
    <row r="412" spans="3:6" ht="14.4" hidden="1" customHeight="1" outlineLevel="1" x14ac:dyDescent="0.3">
      <c r="C412" s="232">
        <v>77</v>
      </c>
      <c r="D412" s="69"/>
      <c r="E412" s="70"/>
      <c r="F412" s="86" t="str">
        <f t="shared" si="9"/>
        <v/>
      </c>
    </row>
    <row r="413" spans="3:6" ht="14.4" hidden="1" customHeight="1" outlineLevel="1" x14ac:dyDescent="0.3">
      <c r="C413" s="231">
        <v>78</v>
      </c>
      <c r="D413" s="69"/>
      <c r="E413" s="70"/>
      <c r="F413" s="86" t="str">
        <f t="shared" si="9"/>
        <v/>
      </c>
    </row>
    <row r="414" spans="3:6" ht="14.4" hidden="1" customHeight="1" outlineLevel="1" x14ac:dyDescent="0.3">
      <c r="C414" s="231">
        <v>79</v>
      </c>
      <c r="D414" s="69"/>
      <c r="E414" s="70"/>
      <c r="F414" s="86" t="str">
        <f t="shared" si="9"/>
        <v/>
      </c>
    </row>
    <row r="415" spans="3:6" ht="14.4" hidden="1" customHeight="1" outlineLevel="1" x14ac:dyDescent="0.3">
      <c r="C415" s="232">
        <v>80</v>
      </c>
      <c r="D415" s="69"/>
      <c r="E415" s="70"/>
      <c r="F415" s="86" t="str">
        <f t="shared" si="9"/>
        <v/>
      </c>
    </row>
    <row r="416" spans="3:6" ht="14.4" hidden="1" customHeight="1" outlineLevel="1" x14ac:dyDescent="0.3">
      <c r="C416" s="231">
        <v>81</v>
      </c>
      <c r="D416" s="69"/>
      <c r="E416" s="70"/>
      <c r="F416" s="86" t="str">
        <f t="shared" si="9"/>
        <v/>
      </c>
    </row>
    <row r="417" spans="3:6" ht="14.4" hidden="1" customHeight="1" outlineLevel="1" x14ac:dyDescent="0.3">
      <c r="C417" s="231">
        <v>82</v>
      </c>
      <c r="D417" s="69"/>
      <c r="E417" s="70"/>
      <c r="F417" s="86" t="str">
        <f t="shared" si="9"/>
        <v/>
      </c>
    </row>
    <row r="418" spans="3:6" ht="14.4" hidden="1" customHeight="1" outlineLevel="1" x14ac:dyDescent="0.3">
      <c r="C418" s="232">
        <v>83</v>
      </c>
      <c r="D418" s="69"/>
      <c r="E418" s="70"/>
      <c r="F418" s="86" t="str">
        <f t="shared" si="9"/>
        <v/>
      </c>
    </row>
    <row r="419" spans="3:6" ht="14.4" hidden="1" customHeight="1" outlineLevel="1" x14ac:dyDescent="0.3">
      <c r="C419" s="231">
        <v>84</v>
      </c>
      <c r="D419" s="69"/>
      <c r="E419" s="70"/>
      <c r="F419" s="86" t="str">
        <f t="shared" si="9"/>
        <v/>
      </c>
    </row>
    <row r="420" spans="3:6" ht="14.4" hidden="1" customHeight="1" outlineLevel="1" x14ac:dyDescent="0.3">
      <c r="C420" s="231">
        <v>85</v>
      </c>
      <c r="D420" s="69"/>
      <c r="E420" s="70"/>
      <c r="F420" s="86" t="str">
        <f t="shared" si="9"/>
        <v/>
      </c>
    </row>
    <row r="421" spans="3:6" ht="14.4" hidden="1" customHeight="1" outlineLevel="1" x14ac:dyDescent="0.3">
      <c r="C421" s="232">
        <v>86</v>
      </c>
      <c r="D421" s="69"/>
      <c r="E421" s="70"/>
      <c r="F421" s="86" t="str">
        <f t="shared" si="9"/>
        <v/>
      </c>
    </row>
    <row r="422" spans="3:6" ht="14.4" hidden="1" customHeight="1" outlineLevel="1" x14ac:dyDescent="0.3">
      <c r="C422" s="231">
        <v>87</v>
      </c>
      <c r="D422" s="69"/>
      <c r="E422" s="70"/>
      <c r="F422" s="86" t="str">
        <f>IF(AND(D422&lt;&gt;"",E422=""), template_label_missing_value,
IF(AND(D422&lt;&gt;"",E422&lt;&gt;""), template_label_ok,
IF(AND(D422="",E422=""), "", template_label_missing_value)))</f>
        <v/>
      </c>
    </row>
    <row r="423" spans="3:6" ht="14.4" hidden="1" customHeight="1" outlineLevel="1" x14ac:dyDescent="0.3">
      <c r="C423" s="231">
        <v>88</v>
      </c>
      <c r="D423" s="69"/>
      <c r="E423" s="70"/>
      <c r="F423" s="86" t="str">
        <f t="shared" si="9"/>
        <v/>
      </c>
    </row>
    <row r="424" spans="3:6" ht="14.4" hidden="1" customHeight="1" outlineLevel="1" x14ac:dyDescent="0.3">
      <c r="C424" s="232">
        <v>89</v>
      </c>
      <c r="D424" s="69"/>
      <c r="E424" s="70"/>
      <c r="F424" s="86" t="str">
        <f t="shared" si="9"/>
        <v/>
      </c>
    </row>
    <row r="425" spans="3:6" ht="14.4" hidden="1" customHeight="1" outlineLevel="1" x14ac:dyDescent="0.3">
      <c r="C425" s="231">
        <v>90</v>
      </c>
      <c r="D425" s="69"/>
      <c r="E425" s="70"/>
      <c r="F425" s="86" t="str">
        <f t="shared" si="9"/>
        <v/>
      </c>
    </row>
    <row r="426" spans="3:6" ht="14.4" hidden="1" customHeight="1" outlineLevel="1" x14ac:dyDescent="0.3">
      <c r="C426" s="231">
        <v>91</v>
      </c>
      <c r="D426" s="69"/>
      <c r="E426" s="70"/>
      <c r="F426" s="86" t="str">
        <f t="shared" si="9"/>
        <v/>
      </c>
    </row>
    <row r="427" spans="3:6" ht="14.4" hidden="1" customHeight="1" outlineLevel="1" x14ac:dyDescent="0.3">
      <c r="C427" s="232">
        <v>92</v>
      </c>
      <c r="D427" s="69"/>
      <c r="E427" s="70"/>
      <c r="F427" s="86" t="str">
        <f t="shared" si="9"/>
        <v/>
      </c>
    </row>
    <row r="428" spans="3:6" ht="14.4" hidden="1" customHeight="1" outlineLevel="1" x14ac:dyDescent="0.3">
      <c r="C428" s="231">
        <v>93</v>
      </c>
      <c r="D428" s="69"/>
      <c r="E428" s="70"/>
      <c r="F428" s="86" t="str">
        <f t="shared" si="9"/>
        <v/>
      </c>
    </row>
    <row r="429" spans="3:6" ht="14.4" hidden="1" customHeight="1" outlineLevel="1" x14ac:dyDescent="0.3">
      <c r="C429" s="231">
        <v>94</v>
      </c>
      <c r="D429" s="69"/>
      <c r="E429" s="70"/>
      <c r="F429" s="86" t="str">
        <f t="shared" si="9"/>
        <v/>
      </c>
    </row>
    <row r="430" spans="3:6" ht="14.4" hidden="1" customHeight="1" outlineLevel="1" x14ac:dyDescent="0.3">
      <c r="C430" s="232">
        <v>95</v>
      </c>
      <c r="D430" s="69"/>
      <c r="E430" s="70"/>
      <c r="F430" s="86" t="str">
        <f t="shared" si="9"/>
        <v/>
      </c>
    </row>
    <row r="431" spans="3:6" ht="14.4" hidden="1" customHeight="1" outlineLevel="1" x14ac:dyDescent="0.3">
      <c r="C431" s="231">
        <v>96</v>
      </c>
      <c r="D431" s="69"/>
      <c r="E431" s="70"/>
      <c r="F431" s="86" t="str">
        <f t="shared" si="9"/>
        <v/>
      </c>
    </row>
    <row r="432" spans="3:6" ht="14.4" hidden="1" customHeight="1" outlineLevel="1" x14ac:dyDescent="0.3">
      <c r="C432" s="231">
        <v>97</v>
      </c>
      <c r="D432" s="69"/>
      <c r="E432" s="70"/>
      <c r="F432" s="86" t="str">
        <f t="shared" si="9"/>
        <v/>
      </c>
    </row>
    <row r="433" spans="3:10" ht="14.4" hidden="1" customHeight="1" outlineLevel="1" x14ac:dyDescent="0.3">
      <c r="C433" s="232">
        <v>98</v>
      </c>
      <c r="D433" s="69"/>
      <c r="E433" s="70"/>
      <c r="F433" s="86" t="str">
        <f t="shared" si="9"/>
        <v/>
      </c>
    </row>
    <row r="434" spans="3:10" ht="14.4" hidden="1" customHeight="1" outlineLevel="1" x14ac:dyDescent="0.3">
      <c r="C434" s="231">
        <v>99</v>
      </c>
      <c r="D434" s="69"/>
      <c r="E434" s="70"/>
      <c r="F434" s="86" t="str">
        <f t="shared" si="9"/>
        <v/>
      </c>
    </row>
    <row r="435" spans="3:10" ht="14.4" hidden="1" customHeight="1" outlineLevel="1" thickBot="1" x14ac:dyDescent="0.35">
      <c r="C435" s="233">
        <v>100</v>
      </c>
      <c r="D435" s="71"/>
      <c r="E435" s="66"/>
      <c r="F435" s="86" t="str">
        <f t="shared" si="9"/>
        <v/>
      </c>
    </row>
    <row r="436" spans="3:10" ht="15" collapsed="1" thickBot="1" x14ac:dyDescent="0.35"/>
    <row r="437" spans="3:10" ht="14.4" customHeight="1" x14ac:dyDescent="0.3">
      <c r="C437" s="662"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2024-01-01 to 2024-12-31 [If applicable]</v>
      </c>
      <c r="D437" s="663"/>
      <c r="E437" s="663"/>
      <c r="F437" s="663"/>
      <c r="G437" s="663"/>
      <c r="H437" s="664"/>
    </row>
    <row r="438" spans="3:10" ht="14.4" customHeight="1" x14ac:dyDescent="0.3">
      <c r="C438" s="553">
        <v>25</v>
      </c>
      <c r="D438" s="554"/>
      <c r="E438" s="554"/>
      <c r="F438" s="554"/>
      <c r="G438" s="554"/>
      <c r="H438" s="555"/>
    </row>
    <row r="439" spans="3:10" ht="14.4" customHeight="1" x14ac:dyDescent="0.3">
      <c r="C439" s="665">
        <v>13</v>
      </c>
      <c r="D439" s="666"/>
      <c r="E439" s="666"/>
      <c r="F439" s="666"/>
      <c r="G439" s="666"/>
      <c r="H439" s="667"/>
    </row>
    <row r="440" spans="3:10" ht="14.4" customHeight="1" x14ac:dyDescent="0.3">
      <c r="C440" s="675" t="str">
        <f>template_label_has_the_undertaking_obtained_any_sustainability_related_certification_or_label</f>
        <v>Has the undertaking obtained any sustainability-related certification(s) or label(s) ?</v>
      </c>
      <c r="D440" s="676"/>
      <c r="E440" s="677" t="b">
        <v>1</v>
      </c>
      <c r="F440" s="678"/>
      <c r="G440" s="678"/>
      <c r="H440" s="679"/>
    </row>
    <row r="441" spans="3:10" ht="30" customHeight="1" thickBot="1" x14ac:dyDescent="0.35">
      <c r="C441" s="644" t="str">
        <f>template_label_description_of_sustainability_related_certification_or_label</f>
        <v>Description of sustainability-related certification(s) or label(s) including where relevant the issuers of the certification or label date and rating score</v>
      </c>
      <c r="D441" s="645"/>
      <c r="E441" s="562" t="s">
        <v>9550</v>
      </c>
      <c r="F441" s="563"/>
      <c r="G441" s="563"/>
      <c r="H441" s="564"/>
      <c r="I441" s="16" t="str">
        <f>IF(AND(E440=TRUE,E441=""), template_label_missing_value,
IF(AND(E440=TRUE,E441&lt;&gt;""), template_label_ok, ""))</f>
        <v>OK</v>
      </c>
    </row>
    <row r="442" spans="3:10" ht="15" thickBot="1" x14ac:dyDescent="0.35"/>
    <row r="443" spans="3:10" x14ac:dyDescent="0.3">
      <c r="C443" s="623" t="str">
        <f>template_label_b1_list_of_site&amp; " " &amp; template_label_from &amp; " " &amp; template_starting_date_display &amp; " " &amp; template_label_to &amp; " " &amp; template_ending_date_display &amp; " " &amp; template_label_always_to_be_reported</f>
        <v>B1 - List of site(s) from 2024-01-01 to 2024-12-31 [Always to be reported]</v>
      </c>
      <c r="D443" s="624"/>
      <c r="E443" s="624"/>
      <c r="F443" s="624"/>
      <c r="G443" s="624"/>
      <c r="H443" s="625"/>
    </row>
    <row r="444" spans="3:10" x14ac:dyDescent="0.3">
      <c r="C444" s="553" t="s">
        <v>3738</v>
      </c>
      <c r="D444" s="554"/>
      <c r="E444" s="554"/>
      <c r="F444" s="554"/>
      <c r="G444" s="554"/>
      <c r="H444" s="555"/>
    </row>
    <row r="445" spans="3:10" x14ac:dyDescent="0.3">
      <c r="C445" s="680" t="s">
        <v>5641</v>
      </c>
      <c r="D445" s="681"/>
      <c r="E445" s="681"/>
      <c r="F445" s="681"/>
      <c r="G445" s="681"/>
      <c r="H445" s="682"/>
    </row>
    <row r="446" spans="3:10" x14ac:dyDescent="0.3">
      <c r="C446" s="686" t="str">
        <f>template_label_id</f>
        <v>ID</v>
      </c>
      <c r="D446" s="559" t="str">
        <f>template_label_address</f>
        <v>Address</v>
      </c>
      <c r="E446" s="559" t="str">
        <f>template_label_postal_code</f>
        <v>Postal code</v>
      </c>
      <c r="F446" s="556" t="str">
        <f>template_label_city</f>
        <v>City</v>
      </c>
      <c r="G446" s="559" t="str">
        <f>template_label_country</f>
        <v>Country</v>
      </c>
      <c r="H446" s="216" t="str">
        <f>template_label_gps_coordinates</f>
        <v>GPS Coordinates (geolocation)</v>
      </c>
      <c r="I446" s="95"/>
    </row>
    <row r="447" spans="3:10" ht="78" customHeight="1" x14ac:dyDescent="0.3">
      <c r="C447" s="687"/>
      <c r="D447" s="560"/>
      <c r="E447" s="560"/>
      <c r="F447" s="557"/>
      <c r="G447" s="560"/>
      <c r="H447" s="420"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447" s="95"/>
      <c r="J447" s="2"/>
    </row>
    <row r="448" spans="3:10" ht="53.4" customHeight="1" x14ac:dyDescent="0.3">
      <c r="C448" s="687"/>
      <c r="D448" s="560"/>
      <c r="E448" s="560"/>
      <c r="F448" s="557"/>
      <c r="G448" s="560"/>
      <c r="H448" s="419" t="s">
        <v>4362</v>
      </c>
      <c r="I448" s="418"/>
      <c r="J448" s="2"/>
    </row>
    <row r="449" spans="3:13" x14ac:dyDescent="0.3">
      <c r="C449" s="688"/>
      <c r="D449" s="561"/>
      <c r="E449" s="561"/>
      <c r="F449" s="558"/>
      <c r="G449" s="561"/>
      <c r="H449" s="380" t="b">
        <v>1</v>
      </c>
      <c r="I449" s="95"/>
      <c r="J449" s="342"/>
    </row>
    <row r="450" spans="3:13" x14ac:dyDescent="0.3">
      <c r="C450" s="231">
        <v>1</v>
      </c>
      <c r="D450" s="72" t="s">
        <v>9551</v>
      </c>
      <c r="E450" s="73" t="s">
        <v>9552</v>
      </c>
      <c r="F450" s="74" t="s">
        <v>9553</v>
      </c>
      <c r="G450" s="72" t="s">
        <v>492</v>
      </c>
      <c r="H450" s="207" t="str">
        <f>IF(COUNTA(D450:G450)=COLUMNS(D450:G450), IFERROR('Technical Sheet'!G2, "-"), "-")</f>
        <v>45.4639102,9.1906398</v>
      </c>
      <c r="I450" s="17" t="str">
        <f>IF(OR(E122="Option A (Basic Module only)", E122="Option B (Basic Module and Comprehensive Module)"),
    IF(AND(D450&lt;&gt;"", E450&lt;&gt;"", F450&lt;&gt;"", G450&lt;&gt;"", H450&lt;&gt;""),
        template_label_ok,
        template_label_missing_value
    ),
    ""
)</f>
        <v>OK</v>
      </c>
      <c r="J450" s="215" t="str">
        <f>IF(AND(D450&lt;&gt;"", E450&lt;&gt;"", F450&lt;&gt;"", G450&lt;&gt;""),
    IFERROR(HYPERLINK("https://www.openstreetmap.org/search?lat=" &amp; 'Technical Sheet'!E2 &amp; "&amp;lon=" &amp; 'Technical Sheet'!F2, "OpenStreetMap Link"),
    ""),
"")</f>
        <v>OpenStreetMap Link</v>
      </c>
      <c r="K450" s="96" t="str">
        <f t="shared" ref="K450:K549" si="10">LOWER(SUBSTITUTE(D450," ","+" )) &amp; "+" &amp; LOWER(SUBSTITUTE(E450," ","+" )) &amp; "+" &amp; LOWER(SUBSTITUTE(F450," ","+" )) &amp; "+" &amp; LOWER(SUBSTITUTE(G450," ","+" )) &amp; "+"</f>
        <v>duomo+square+20122+milan+italy+</v>
      </c>
      <c r="L450" t="str">
        <f>template_label_geolocalisation_warning</f>
        <v>ℹ️  Please be careful to separate each street number and house number using the slash symbol "/" and not the comma ","</v>
      </c>
      <c r="M450" s="89"/>
    </row>
    <row r="451" spans="3:13" x14ac:dyDescent="0.3">
      <c r="C451" s="232">
        <v>2</v>
      </c>
      <c r="D451" s="75"/>
      <c r="E451" s="76"/>
      <c r="F451" s="77"/>
      <c r="G451" s="72"/>
      <c r="H451" s="207" t="str">
        <f>IF(COUNTA(D451:G451)=COLUMNS(D451:G451), IFERROR('Technical Sheet'!G3, "-"), "-")</f>
        <v>-</v>
      </c>
      <c r="I451" s="17" t="str">
        <f t="shared" ref="I451:I549" si="11">IF(AND(D451&lt;&gt;"", E451&lt;&gt;"", F451&lt;&gt;"", G451&lt;&gt;"", H451&lt;&gt;""), template_label_ok,
    IF(AND(D451="", E451="", F451="", G451="", H451="-"), "",
        template_label_missing_value
    )
)</f>
        <v/>
      </c>
      <c r="J451" s="215" t="str">
        <f>IF(AND(D451&lt;&gt;"", E451&lt;&gt;"", F451&lt;&gt;"", G451&lt;&gt;""),
    IFERROR(HYPERLINK("https://www.openstreetmap.org/search?lat=" &amp; 'Technical Sheet'!E3 &amp; "&amp;lon=" &amp; 'Technical Sheet'!F3, "OpenStreetMap Link"),
    ""),
"")</f>
        <v/>
      </c>
      <c r="K451" s="96" t="str">
        <f>LOWER(SUBSTITUTE(D451," ","+" )) &amp; "+" &amp; LOWER(SUBSTITUTE(E451," ","+" )) &amp; "+" &amp; LOWER(SUBSTITUTE(F451," ","+" )) &amp; "+" &amp; LOWER(SUBSTITUTE(G451," ","+" )) &amp; "+"</f>
        <v>++++</v>
      </c>
    </row>
    <row r="452" spans="3:13" ht="15" thickBot="1" x14ac:dyDescent="0.35">
      <c r="C452" s="233">
        <v>3</v>
      </c>
      <c r="D452" s="78"/>
      <c r="E452" s="79"/>
      <c r="F452" s="80"/>
      <c r="G452" s="78"/>
      <c r="H452" s="208" t="str">
        <f>IF(COUNTA(D452:G452)=COLUMNS(D452:G452), IFERROR('Technical Sheet'!G4, "-"), "-")</f>
        <v>-</v>
      </c>
      <c r="I452" s="17" t="str">
        <f t="shared" si="11"/>
        <v/>
      </c>
      <c r="J452" s="215" t="str">
        <f>IF(AND(D452&lt;&gt;"", E452&lt;&gt;"", F452&lt;&gt;"", G452&lt;&gt;""),
    IFERROR(HYPERLINK("https://www.openstreetmap.org/search?lat=" &amp; 'Technical Sheet'!E4 &amp; "&amp;lon=" &amp; 'Technical Sheet'!F4, "OpenStreetMap Link"),
    ""),
"")</f>
        <v/>
      </c>
      <c r="K452" s="96" t="str">
        <f>LOWER(SUBSTITUTE(D452," ","+" )) &amp; "+" &amp; LOWER(SUBSTITUTE(E452," ","+" )) &amp; "+" &amp; LOWER(SUBSTITUTE(F452," ","+" )) &amp; "+" &amp; LOWER(SUBSTITUTE(G452," ","+" )) &amp; "+"</f>
        <v>++++</v>
      </c>
      <c r="L452" t="str">
        <f>template_label_additional_rows_warning</f>
        <v>ℹ️  Lists can be expanded using the little [+] button on the left.  If the number of rows is not sufficient, those can be added by right clicking the second row and selecting "Insert row".</v>
      </c>
    </row>
    <row r="453" spans="3:13" hidden="1" outlineLevel="1" x14ac:dyDescent="0.3">
      <c r="C453" s="232">
        <v>4</v>
      </c>
      <c r="D453" s="75"/>
      <c r="E453" s="76"/>
      <c r="F453" s="77"/>
      <c r="G453" s="75"/>
      <c r="H453" s="209" t="str">
        <f>IF(COUNTA(D453:G453)=COLUMNS(D453:G453), IFERROR('Technical Sheet'!G5, "-"), "-")</f>
        <v>-</v>
      </c>
      <c r="I453" s="17" t="str">
        <f t="shared" si="11"/>
        <v/>
      </c>
      <c r="J453" s="215" t="str">
        <f>IF(AND(D453&lt;&gt;"", E453&lt;&gt;"", F453&lt;&gt;"", G453&lt;&gt;""),
    IFERROR(HYPERLINK("https://www.openstreetmap.org/search?lat=" &amp; 'Technical Sheet'!E5 &amp; "&amp;lon=" &amp; 'Technical Sheet'!F5, "OpenStreetMap Link"),
    ""),
"")</f>
        <v/>
      </c>
      <c r="K453" s="96" t="str">
        <f t="shared" si="10"/>
        <v>++++</v>
      </c>
    </row>
    <row r="454" spans="3:13" hidden="1" outlineLevel="1" x14ac:dyDescent="0.3">
      <c r="C454" s="232">
        <v>5</v>
      </c>
      <c r="D454" s="72"/>
      <c r="E454" s="73"/>
      <c r="F454" s="74"/>
      <c r="G454" s="72"/>
      <c r="H454" s="207" t="str">
        <f>IF(COUNTA(D454:G454)=COLUMNS(D454:G454), IFERROR('Technical Sheet'!G6, "-"), "-")</f>
        <v>-</v>
      </c>
      <c r="I454" s="17" t="str">
        <f t="shared" si="11"/>
        <v/>
      </c>
      <c r="J454" s="215" t="str">
        <f>IF(AND(D454&lt;&gt;"", E454&lt;&gt;"", F454&lt;&gt;"", G454&lt;&gt;""),
    IFERROR(HYPERLINK("https://www.openstreetmap.org/search?lat=" &amp; 'Technical Sheet'!E6 &amp; "&amp;lon=" &amp; 'Technical Sheet'!F6, "OpenStreetMap Link"),
    ""),
"")</f>
        <v/>
      </c>
      <c r="K454" s="96" t="str">
        <f t="shared" si="10"/>
        <v>++++</v>
      </c>
    </row>
    <row r="455" spans="3:13" hidden="1" outlineLevel="1" x14ac:dyDescent="0.3">
      <c r="C455" s="231">
        <v>6</v>
      </c>
      <c r="D455" s="72"/>
      <c r="E455" s="73"/>
      <c r="F455" s="74"/>
      <c r="G455" s="72"/>
      <c r="H455" s="207" t="str">
        <f>IF(COUNTA(D455:G455)=COLUMNS(D455:G455), IFERROR('Technical Sheet'!G7, "-"), "-")</f>
        <v>-</v>
      </c>
      <c r="I455" s="17" t="str">
        <f t="shared" si="11"/>
        <v/>
      </c>
      <c r="J455" s="215" t="str">
        <f>IF(AND(D455&lt;&gt;"", E455&lt;&gt;"", F455&lt;&gt;"", G455&lt;&gt;""),
    IFERROR(HYPERLINK("https://www.openstreetmap.org/search?lat=" &amp; 'Technical Sheet'!E7 &amp; "&amp;lon=" &amp; 'Technical Sheet'!F7, "OpenStreetMap Link"),
    ""),
"")</f>
        <v/>
      </c>
      <c r="K455" s="96" t="str">
        <f t="shared" si="10"/>
        <v>++++</v>
      </c>
    </row>
    <row r="456" spans="3:13" hidden="1" outlineLevel="1" x14ac:dyDescent="0.3">
      <c r="C456" s="231">
        <v>7</v>
      </c>
      <c r="D456" s="72"/>
      <c r="E456" s="73"/>
      <c r="F456" s="74"/>
      <c r="G456" s="72"/>
      <c r="H456" s="207" t="str">
        <f>IF(COUNTA(D456:G456)=COLUMNS(D456:G456), IFERROR('Technical Sheet'!G8, "-"), "-")</f>
        <v>-</v>
      </c>
      <c r="I456" s="17" t="str">
        <f t="shared" si="11"/>
        <v/>
      </c>
      <c r="J456" s="215" t="str">
        <f>IF(AND(D456&lt;&gt;"", E456&lt;&gt;"", F456&lt;&gt;"", G456&lt;&gt;""),
    IFERROR(HYPERLINK("https://www.openstreetmap.org/search?lat=" &amp; 'Technical Sheet'!E8 &amp; "&amp;lon=" &amp; 'Technical Sheet'!F8, "OpenStreetMap Link"),
    ""),
"")</f>
        <v/>
      </c>
      <c r="K456" s="96" t="str">
        <f t="shared" si="10"/>
        <v>++++</v>
      </c>
    </row>
    <row r="457" spans="3:13" hidden="1" outlineLevel="1" x14ac:dyDescent="0.3">
      <c r="C457" s="232">
        <v>8</v>
      </c>
      <c r="D457" s="72"/>
      <c r="E457" s="73"/>
      <c r="F457" s="74"/>
      <c r="G457" s="72"/>
      <c r="H457" s="207" t="str">
        <f>IF(COUNTA(D457:G457)=COLUMNS(D457:G457), IFERROR('Technical Sheet'!G9, "-"), "-")</f>
        <v>-</v>
      </c>
      <c r="I457" s="17" t="str">
        <f t="shared" si="11"/>
        <v/>
      </c>
      <c r="J457" s="215" t="str">
        <f>IF(AND(D457&lt;&gt;"", E457&lt;&gt;"", F457&lt;&gt;"", G457&lt;&gt;""),
    IFERROR(HYPERLINK("https://www.openstreetmap.org/search?lat=" &amp; 'Technical Sheet'!E9 &amp; "&amp;lon=" &amp; 'Technical Sheet'!F9, "OpenStreetMap Link"),
    ""),
"")</f>
        <v/>
      </c>
      <c r="K457" s="96" t="str">
        <f t="shared" si="10"/>
        <v>++++</v>
      </c>
    </row>
    <row r="458" spans="3:13" hidden="1" outlineLevel="1" x14ac:dyDescent="0.3">
      <c r="C458" s="231">
        <v>9</v>
      </c>
      <c r="D458" s="72"/>
      <c r="E458" s="73"/>
      <c r="F458" s="74"/>
      <c r="G458" s="72"/>
      <c r="H458" s="207" t="str">
        <f>IF(COUNTA(D458:G458)=COLUMNS(D458:G458), IFERROR('Technical Sheet'!G10, "-"), "-")</f>
        <v>-</v>
      </c>
      <c r="I458" s="17" t="str">
        <f t="shared" si="11"/>
        <v/>
      </c>
      <c r="J458" s="215" t="str">
        <f>IF(AND(D458&lt;&gt;"", E458&lt;&gt;"", F458&lt;&gt;"", G458&lt;&gt;""),
    IFERROR(HYPERLINK("https://www.openstreetmap.org/search?lat=" &amp; 'Technical Sheet'!E10 &amp; "&amp;lon=" &amp; 'Technical Sheet'!F10, "OpenStreetMap Link"),
    ""),
"")</f>
        <v/>
      </c>
      <c r="K458" s="96" t="str">
        <f t="shared" si="10"/>
        <v>++++</v>
      </c>
    </row>
    <row r="459" spans="3:13" hidden="1" outlineLevel="1" x14ac:dyDescent="0.3">
      <c r="C459" s="231">
        <v>10</v>
      </c>
      <c r="D459" s="72"/>
      <c r="E459" s="73"/>
      <c r="F459" s="74"/>
      <c r="G459" s="72"/>
      <c r="H459" s="207" t="str">
        <f>IF(COUNTA(D459:G459)=COLUMNS(D459:G459), IFERROR('Technical Sheet'!G11, "-"), "-")</f>
        <v>-</v>
      </c>
      <c r="I459" s="17" t="str">
        <f t="shared" si="11"/>
        <v/>
      </c>
      <c r="J459" s="215" t="str">
        <f>IF(AND(D459&lt;&gt;"", E459&lt;&gt;"", F459&lt;&gt;"", G459&lt;&gt;""),
    IFERROR(HYPERLINK("https://www.openstreetmap.org/search?lat=" &amp; 'Technical Sheet'!E11 &amp; "&amp;lon=" &amp; 'Technical Sheet'!F11, "OpenStreetMap Link"),
    ""),
"")</f>
        <v/>
      </c>
      <c r="K459" s="96" t="str">
        <f t="shared" si="10"/>
        <v>++++</v>
      </c>
    </row>
    <row r="460" spans="3:13" hidden="1" outlineLevel="1" x14ac:dyDescent="0.3">
      <c r="C460" s="232">
        <v>11</v>
      </c>
      <c r="D460" s="72"/>
      <c r="E460" s="73"/>
      <c r="F460" s="74"/>
      <c r="G460" s="72"/>
      <c r="H460" s="207" t="str">
        <f>IF(COUNTA(D460:G460)=COLUMNS(D460:G460), IFERROR('Technical Sheet'!G12, "-"), "-")</f>
        <v>-</v>
      </c>
      <c r="I460" s="17" t="str">
        <f t="shared" si="11"/>
        <v/>
      </c>
      <c r="J460" s="215" t="str">
        <f>IF(AND(D460&lt;&gt;"", E460&lt;&gt;"", F460&lt;&gt;"", G460&lt;&gt;""),
    IFERROR(HYPERLINK("https://www.openstreetmap.org/search?lat=" &amp; 'Technical Sheet'!E12 &amp; "&amp;lon=" &amp; 'Technical Sheet'!F12, "OpenStreetMap Link"),
    ""),
"")</f>
        <v/>
      </c>
      <c r="K460" s="96" t="str">
        <f t="shared" si="10"/>
        <v>++++</v>
      </c>
    </row>
    <row r="461" spans="3:13" hidden="1" outlineLevel="1" x14ac:dyDescent="0.3">
      <c r="C461" s="231">
        <v>12</v>
      </c>
      <c r="D461" s="72"/>
      <c r="E461" s="73"/>
      <c r="F461" s="74"/>
      <c r="G461" s="72"/>
      <c r="H461" s="207" t="str">
        <f>IF(COUNTA(D461:G461)=COLUMNS(D461:G461), IFERROR('Technical Sheet'!G13, "-"), "-")</f>
        <v>-</v>
      </c>
      <c r="I461" s="17" t="str">
        <f t="shared" si="11"/>
        <v/>
      </c>
      <c r="J461" s="215" t="str">
        <f>IF(AND(D461&lt;&gt;"", E461&lt;&gt;"", F461&lt;&gt;"", G461&lt;&gt;""),
    IFERROR(HYPERLINK("https://www.openstreetmap.org/search?lat=" &amp; 'Technical Sheet'!E13 &amp; "&amp;lon=" &amp; 'Technical Sheet'!F13, "OpenStreetMap Link"),
    ""),
"")</f>
        <v/>
      </c>
      <c r="K461" s="96" t="str">
        <f t="shared" si="10"/>
        <v>++++</v>
      </c>
    </row>
    <row r="462" spans="3:13" hidden="1" outlineLevel="1" x14ac:dyDescent="0.3">
      <c r="C462" s="231">
        <v>13</v>
      </c>
      <c r="D462" s="72"/>
      <c r="E462" s="73"/>
      <c r="F462" s="74"/>
      <c r="G462" s="72"/>
      <c r="H462" s="207" t="str">
        <f>IF(COUNTA(D462:G462)=COLUMNS(D462:G462), IFERROR('Technical Sheet'!G14, "-"), "-")</f>
        <v>-</v>
      </c>
      <c r="I462" s="17" t="str">
        <f t="shared" si="11"/>
        <v/>
      </c>
      <c r="J462" s="215" t="str">
        <f>IF(AND(D462&lt;&gt;"", E462&lt;&gt;"", F462&lt;&gt;"", G462&lt;&gt;""),
    IFERROR(HYPERLINK("https://www.openstreetmap.org/search?lat=" &amp; 'Technical Sheet'!E14 &amp; "&amp;lon=" &amp; 'Technical Sheet'!F14, "OpenStreetMap Link"),
    ""),
"")</f>
        <v/>
      </c>
      <c r="K462" s="96" t="str">
        <f t="shared" si="10"/>
        <v>++++</v>
      </c>
    </row>
    <row r="463" spans="3:13" hidden="1" outlineLevel="1" x14ac:dyDescent="0.3">
      <c r="C463" s="232">
        <v>14</v>
      </c>
      <c r="D463" s="72"/>
      <c r="E463" s="73"/>
      <c r="F463" s="74"/>
      <c r="G463" s="72"/>
      <c r="H463" s="207" t="str">
        <f>IF(COUNTA(D463:G463)=COLUMNS(D463:G463), IFERROR('Technical Sheet'!G15, "-"), "-")</f>
        <v>-</v>
      </c>
      <c r="I463" s="17" t="str">
        <f t="shared" si="11"/>
        <v/>
      </c>
      <c r="J463" s="215" t="str">
        <f>IF(AND(D463&lt;&gt;"", E463&lt;&gt;"", F463&lt;&gt;"", G463&lt;&gt;""),
    IFERROR(HYPERLINK("https://www.openstreetmap.org/search?lat=" &amp; 'Technical Sheet'!E15 &amp; "&amp;lon=" &amp; 'Technical Sheet'!F15, "OpenStreetMap Link"),
    ""),
"")</f>
        <v/>
      </c>
      <c r="K463" s="96" t="str">
        <f t="shared" si="10"/>
        <v>++++</v>
      </c>
    </row>
    <row r="464" spans="3:13" hidden="1" outlineLevel="1" x14ac:dyDescent="0.3">
      <c r="C464" s="231">
        <v>15</v>
      </c>
      <c r="D464" s="72"/>
      <c r="E464" s="73"/>
      <c r="F464" s="74"/>
      <c r="G464" s="72"/>
      <c r="H464" s="207" t="str">
        <f>IF(COUNTA(D464:G464)=COLUMNS(D464:G464), IFERROR('Technical Sheet'!G16, "-"), "-")</f>
        <v>-</v>
      </c>
      <c r="I464" s="17" t="str">
        <f t="shared" si="11"/>
        <v/>
      </c>
      <c r="J464" s="215" t="str">
        <f>IF(AND(D464&lt;&gt;"", E464&lt;&gt;"", F464&lt;&gt;"", G464&lt;&gt;""),
    IFERROR(HYPERLINK("https://www.openstreetmap.org/search?lat=" &amp; 'Technical Sheet'!E16 &amp; "&amp;lon=" &amp; 'Technical Sheet'!F16, "OpenStreetMap Link"),
    ""),
"")</f>
        <v/>
      </c>
      <c r="K464" s="96" t="str">
        <f t="shared" si="10"/>
        <v>++++</v>
      </c>
    </row>
    <row r="465" spans="3:11" hidden="1" outlineLevel="1" x14ac:dyDescent="0.3">
      <c r="C465" s="231">
        <v>16</v>
      </c>
      <c r="D465" s="72"/>
      <c r="E465" s="73"/>
      <c r="F465" s="74"/>
      <c r="G465" s="72"/>
      <c r="H465" s="207" t="str">
        <f>IF(COUNTA(D465:G465)=COLUMNS(D465:G465), IFERROR('Technical Sheet'!G17, "-"), "-")</f>
        <v>-</v>
      </c>
      <c r="I465" s="17" t="str">
        <f t="shared" si="11"/>
        <v/>
      </c>
      <c r="J465" s="215" t="str">
        <f>IF(AND(D465&lt;&gt;"", E465&lt;&gt;"", F465&lt;&gt;"", G465&lt;&gt;""),
    IFERROR(HYPERLINK("https://www.openstreetmap.org/search?lat=" &amp; 'Technical Sheet'!E17 &amp; "&amp;lon=" &amp; 'Technical Sheet'!F17, "OpenStreetMap Link"),
    ""),
"")</f>
        <v/>
      </c>
      <c r="K465" s="96" t="str">
        <f t="shared" si="10"/>
        <v>++++</v>
      </c>
    </row>
    <row r="466" spans="3:11" hidden="1" outlineLevel="1" x14ac:dyDescent="0.3">
      <c r="C466" s="232">
        <v>17</v>
      </c>
      <c r="D466" s="72"/>
      <c r="E466" s="73"/>
      <c r="F466" s="74"/>
      <c r="G466" s="72"/>
      <c r="H466" s="207" t="str">
        <f>IF(COUNTA(D466:G466)=COLUMNS(D466:G466), IFERROR('Technical Sheet'!G18, "-"), "-")</f>
        <v>-</v>
      </c>
      <c r="I466" s="17" t="str">
        <f t="shared" si="11"/>
        <v/>
      </c>
      <c r="J466" s="215" t="str">
        <f>IF(AND(D466&lt;&gt;"", E466&lt;&gt;"", F466&lt;&gt;"", G466&lt;&gt;""),
    IFERROR(HYPERLINK("https://www.openstreetmap.org/search?lat=" &amp; 'Technical Sheet'!E18 &amp; "&amp;lon=" &amp; 'Technical Sheet'!F18, "OpenStreetMap Link"),
    ""),
"")</f>
        <v/>
      </c>
      <c r="K466" s="96" t="str">
        <f t="shared" si="10"/>
        <v>++++</v>
      </c>
    </row>
    <row r="467" spans="3:11" hidden="1" outlineLevel="1" x14ac:dyDescent="0.3">
      <c r="C467" s="231">
        <v>18</v>
      </c>
      <c r="D467" s="72"/>
      <c r="E467" s="73"/>
      <c r="F467" s="74"/>
      <c r="G467" s="72"/>
      <c r="H467" s="207" t="str">
        <f>IF(COUNTA(D467:G467)=COLUMNS(D467:G467), IFERROR('Technical Sheet'!G19, "-"), "-")</f>
        <v>-</v>
      </c>
      <c r="I467" s="17" t="str">
        <f t="shared" si="11"/>
        <v/>
      </c>
      <c r="J467" s="215" t="str">
        <f>IF(AND(D467&lt;&gt;"", E467&lt;&gt;"", F467&lt;&gt;"", G467&lt;&gt;""),
    IFERROR(HYPERLINK("https://www.openstreetmap.org/search?lat=" &amp; 'Technical Sheet'!E19 &amp; "&amp;lon=" &amp; 'Technical Sheet'!F19, "OpenStreetMap Link"),
    ""),
"")</f>
        <v/>
      </c>
      <c r="K467" s="96" t="str">
        <f t="shared" si="10"/>
        <v>++++</v>
      </c>
    </row>
    <row r="468" spans="3:11" hidden="1" outlineLevel="1" x14ac:dyDescent="0.3">
      <c r="C468" s="231">
        <v>19</v>
      </c>
      <c r="D468" s="72"/>
      <c r="E468" s="73"/>
      <c r="F468" s="74"/>
      <c r="G468" s="72"/>
      <c r="H468" s="207" t="str">
        <f>IF(COUNTA(D468:G468)=COLUMNS(D468:G468), IFERROR('Technical Sheet'!G20, "-"), "-")</f>
        <v>-</v>
      </c>
      <c r="I468" s="17" t="str">
        <f t="shared" si="11"/>
        <v/>
      </c>
      <c r="J468" s="215" t="str">
        <f>IF(AND(D468&lt;&gt;"", E468&lt;&gt;"", F468&lt;&gt;"", G468&lt;&gt;""),
    IFERROR(HYPERLINK("https://www.openstreetmap.org/search?lat=" &amp; 'Technical Sheet'!E20 &amp; "&amp;lon=" &amp; 'Technical Sheet'!F20, "OpenStreetMap Link"),
    ""),
"")</f>
        <v/>
      </c>
      <c r="K468" s="96" t="str">
        <f t="shared" si="10"/>
        <v>++++</v>
      </c>
    </row>
    <row r="469" spans="3:11" hidden="1" outlineLevel="1" x14ac:dyDescent="0.3">
      <c r="C469" s="232">
        <v>20</v>
      </c>
      <c r="D469" s="72"/>
      <c r="E469" s="73"/>
      <c r="F469" s="74"/>
      <c r="G469" s="72"/>
      <c r="H469" s="207" t="str">
        <f>IF(COUNTA(D469:G469)=COLUMNS(D469:G469), IFERROR('Technical Sheet'!G21, "-"), "-")</f>
        <v>-</v>
      </c>
      <c r="I469" s="17" t="str">
        <f t="shared" si="11"/>
        <v/>
      </c>
      <c r="J469" s="215" t="str">
        <f>IF(AND(D469&lt;&gt;"", E469&lt;&gt;"", F469&lt;&gt;"", G469&lt;&gt;""),
    IFERROR(HYPERLINK("https://www.openstreetmap.org/search?lat=" &amp; 'Technical Sheet'!E21 &amp; "&amp;lon=" &amp; 'Technical Sheet'!F21, "OpenStreetMap Link"),
    ""),
"")</f>
        <v/>
      </c>
      <c r="K469" s="96" t="str">
        <f t="shared" si="10"/>
        <v>++++</v>
      </c>
    </row>
    <row r="470" spans="3:11" hidden="1" outlineLevel="1" x14ac:dyDescent="0.3">
      <c r="C470" s="231">
        <v>21</v>
      </c>
      <c r="D470" s="72"/>
      <c r="E470" s="73"/>
      <c r="F470" s="74"/>
      <c r="G470" s="72"/>
      <c r="H470" s="207" t="str">
        <f>IF(COUNTA(D470:G470)=COLUMNS(D470:G470), IFERROR('Technical Sheet'!G22, "-"), "-")</f>
        <v>-</v>
      </c>
      <c r="I470" s="17" t="str">
        <f t="shared" si="11"/>
        <v/>
      </c>
      <c r="J470" s="215" t="str">
        <f>IF(AND(D470&lt;&gt;"", E470&lt;&gt;"", F470&lt;&gt;"", G470&lt;&gt;""),
    IFERROR(HYPERLINK("https://www.openstreetmap.org/search?lat=" &amp; 'Technical Sheet'!E22 &amp; "&amp;lon=" &amp; 'Technical Sheet'!F22, "OpenStreetMap Link"),
    ""),
"")</f>
        <v/>
      </c>
      <c r="K470" s="96" t="str">
        <f t="shared" si="10"/>
        <v>++++</v>
      </c>
    </row>
    <row r="471" spans="3:11" hidden="1" outlineLevel="1" x14ac:dyDescent="0.3">
      <c r="C471" s="231">
        <v>22</v>
      </c>
      <c r="D471" s="72"/>
      <c r="E471" s="73"/>
      <c r="F471" s="74"/>
      <c r="G471" s="72"/>
      <c r="H471" s="207" t="str">
        <f>IF(COUNTA(D471:G471)=COLUMNS(D471:G471), IFERROR('Technical Sheet'!G23, "-"), "-")</f>
        <v>-</v>
      </c>
      <c r="I471" s="17" t="str">
        <f t="shared" si="11"/>
        <v/>
      </c>
      <c r="J471" s="215" t="str">
        <f>IF(AND(D471&lt;&gt;"", E471&lt;&gt;"", F471&lt;&gt;"", G471&lt;&gt;""),
    IFERROR(HYPERLINK("https://www.openstreetmap.org/search?lat=" &amp; 'Technical Sheet'!E23 &amp; "&amp;lon=" &amp; 'Technical Sheet'!F23, "OpenStreetMap Link"),
    ""),
"")</f>
        <v/>
      </c>
      <c r="K471" s="96" t="str">
        <f t="shared" si="10"/>
        <v>++++</v>
      </c>
    </row>
    <row r="472" spans="3:11" hidden="1" outlineLevel="1" x14ac:dyDescent="0.3">
      <c r="C472" s="232">
        <v>23</v>
      </c>
      <c r="D472" s="72"/>
      <c r="E472" s="73"/>
      <c r="F472" s="74"/>
      <c r="G472" s="72"/>
      <c r="H472" s="207" t="str">
        <f>IF(COUNTA(D472:G472)=COLUMNS(D472:G472), IFERROR('Technical Sheet'!G24, "-"), "-")</f>
        <v>-</v>
      </c>
      <c r="I472" s="17" t="str">
        <f t="shared" si="11"/>
        <v/>
      </c>
      <c r="J472" s="215" t="str">
        <f>IF(AND(D472&lt;&gt;"", E472&lt;&gt;"", F472&lt;&gt;"", G472&lt;&gt;""),
    IFERROR(HYPERLINK("https://www.openstreetmap.org/search?lat=" &amp; 'Technical Sheet'!E24 &amp; "&amp;lon=" &amp; 'Technical Sheet'!F24, "OpenStreetMap Link"),
    ""),
"")</f>
        <v/>
      </c>
      <c r="K472" s="96" t="str">
        <f t="shared" si="10"/>
        <v>++++</v>
      </c>
    </row>
    <row r="473" spans="3:11" hidden="1" outlineLevel="1" x14ac:dyDescent="0.3">
      <c r="C473" s="231">
        <v>24</v>
      </c>
      <c r="D473" s="81"/>
      <c r="E473" s="82"/>
      <c r="F473" s="83"/>
      <c r="G473" s="81"/>
      <c r="H473" s="207" t="str">
        <f>IF(COUNTA(D473:G473)=COLUMNS(D473:G473), IFERROR('Technical Sheet'!G25, "-"), "-")</f>
        <v>-</v>
      </c>
      <c r="I473" s="17" t="str">
        <f t="shared" si="11"/>
        <v/>
      </c>
      <c r="J473" s="215"/>
      <c r="K473" s="96"/>
    </row>
    <row r="474" spans="3:11" hidden="1" outlineLevel="1" x14ac:dyDescent="0.3">
      <c r="C474" s="231">
        <v>25</v>
      </c>
      <c r="D474" s="81"/>
      <c r="E474" s="82"/>
      <c r="F474" s="83"/>
      <c r="G474" s="81"/>
      <c r="H474" s="207" t="str">
        <f>IF(COUNTA(D474:G474)=COLUMNS(D474:G474), IFERROR('Technical Sheet'!G26, "-"), "-")</f>
        <v>-</v>
      </c>
      <c r="I474" s="17" t="str">
        <f t="shared" si="11"/>
        <v/>
      </c>
      <c r="J474" s="215"/>
      <c r="K474" s="96"/>
    </row>
    <row r="475" spans="3:11" hidden="1" outlineLevel="1" x14ac:dyDescent="0.3">
      <c r="C475" s="232">
        <v>26</v>
      </c>
      <c r="D475" s="81"/>
      <c r="E475" s="82"/>
      <c r="F475" s="83"/>
      <c r="G475" s="81"/>
      <c r="H475" s="207" t="str">
        <f>IF(COUNTA(D475:G475)=COLUMNS(D475:G475), IFERROR('Technical Sheet'!G27, "-"), "-")</f>
        <v>-</v>
      </c>
      <c r="I475" s="17" t="str">
        <f t="shared" si="11"/>
        <v/>
      </c>
      <c r="J475" s="215"/>
      <c r="K475" s="96"/>
    </row>
    <row r="476" spans="3:11" hidden="1" outlineLevel="1" x14ac:dyDescent="0.3">
      <c r="C476" s="231">
        <v>27</v>
      </c>
      <c r="D476" s="81"/>
      <c r="E476" s="82"/>
      <c r="F476" s="83"/>
      <c r="G476" s="81"/>
      <c r="H476" s="207" t="str">
        <f>IF(COUNTA(D476:G476)=COLUMNS(D476:G476), IFERROR('Technical Sheet'!G28, "-"), "-")</f>
        <v>-</v>
      </c>
      <c r="I476" s="17" t="str">
        <f t="shared" si="11"/>
        <v/>
      </c>
      <c r="J476" s="215"/>
      <c r="K476" s="96"/>
    </row>
    <row r="477" spans="3:11" hidden="1" outlineLevel="1" x14ac:dyDescent="0.3">
      <c r="C477" s="231">
        <v>28</v>
      </c>
      <c r="D477" s="81"/>
      <c r="E477" s="82"/>
      <c r="F477" s="83"/>
      <c r="G477" s="81"/>
      <c r="H477" s="207" t="str">
        <f>IF(COUNTA(D477:G477)=COLUMNS(D477:G477), IFERROR('Technical Sheet'!G29, "-"), "-")</f>
        <v>-</v>
      </c>
      <c r="I477" s="17" t="str">
        <f t="shared" si="11"/>
        <v/>
      </c>
      <c r="J477" s="215"/>
      <c r="K477" s="96"/>
    </row>
    <row r="478" spans="3:11" hidden="1" outlineLevel="1" x14ac:dyDescent="0.3">
      <c r="C478" s="232">
        <v>29</v>
      </c>
      <c r="D478" s="81"/>
      <c r="E478" s="82"/>
      <c r="F478" s="83"/>
      <c r="G478" s="81"/>
      <c r="H478" s="207" t="str">
        <f>IF(COUNTA(D478:G478)=COLUMNS(D478:G478), IFERROR('Technical Sheet'!G30, "-"), "-")</f>
        <v>-</v>
      </c>
      <c r="I478" s="17" t="str">
        <f t="shared" si="11"/>
        <v/>
      </c>
      <c r="J478" s="215"/>
      <c r="K478" s="96"/>
    </row>
    <row r="479" spans="3:11" hidden="1" outlineLevel="1" x14ac:dyDescent="0.3">
      <c r="C479" s="231">
        <v>30</v>
      </c>
      <c r="D479" s="81"/>
      <c r="E479" s="82"/>
      <c r="F479" s="83"/>
      <c r="G479" s="81"/>
      <c r="H479" s="207" t="str">
        <f>IF(COUNTA(D479:G479)=COLUMNS(D479:G479), IFERROR('Technical Sheet'!G31, "-"), "-")</f>
        <v>-</v>
      </c>
      <c r="I479" s="17" t="str">
        <f t="shared" si="11"/>
        <v/>
      </c>
      <c r="J479" s="215"/>
      <c r="K479" s="96"/>
    </row>
    <row r="480" spans="3:11" hidden="1" outlineLevel="1" x14ac:dyDescent="0.3">
      <c r="C480" s="231">
        <v>31</v>
      </c>
      <c r="D480" s="81"/>
      <c r="E480" s="82"/>
      <c r="F480" s="83"/>
      <c r="G480" s="81"/>
      <c r="H480" s="207" t="str">
        <f>IF(COUNTA(D480:G480)=COLUMNS(D480:G480), IFERROR('Technical Sheet'!G32, "-"), "-")</f>
        <v>-</v>
      </c>
      <c r="I480" s="17" t="str">
        <f t="shared" si="11"/>
        <v/>
      </c>
      <c r="J480" s="215"/>
      <c r="K480" s="96"/>
    </row>
    <row r="481" spans="3:11" hidden="1" outlineLevel="1" x14ac:dyDescent="0.3">
      <c r="C481" s="232">
        <v>32</v>
      </c>
      <c r="D481" s="81"/>
      <c r="E481" s="82"/>
      <c r="F481" s="83"/>
      <c r="G481" s="81"/>
      <c r="H481" s="207" t="str">
        <f>IF(COUNTA(D481:G481)=COLUMNS(D481:G481), IFERROR('Technical Sheet'!G33, "-"), "-")</f>
        <v>-</v>
      </c>
      <c r="I481" s="17" t="str">
        <f t="shared" si="11"/>
        <v/>
      </c>
      <c r="J481" s="215"/>
      <c r="K481" s="96"/>
    </row>
    <row r="482" spans="3:11" hidden="1" outlineLevel="1" x14ac:dyDescent="0.3">
      <c r="C482" s="231">
        <v>33</v>
      </c>
      <c r="D482" s="81"/>
      <c r="E482" s="82"/>
      <c r="F482" s="83"/>
      <c r="G482" s="81"/>
      <c r="H482" s="207" t="str">
        <f>IF(COUNTA(D482:G482)=COLUMNS(D482:G482), IFERROR('Technical Sheet'!G34, "-"), "-")</f>
        <v>-</v>
      </c>
      <c r="I482" s="17" t="str">
        <f t="shared" si="11"/>
        <v/>
      </c>
      <c r="J482" s="215"/>
      <c r="K482" s="96"/>
    </row>
    <row r="483" spans="3:11" hidden="1" outlineLevel="1" x14ac:dyDescent="0.3">
      <c r="C483" s="231">
        <v>34</v>
      </c>
      <c r="D483" s="81"/>
      <c r="E483" s="82"/>
      <c r="F483" s="83"/>
      <c r="G483" s="81"/>
      <c r="H483" s="207" t="str">
        <f>IF(COUNTA(D483:G483)=COLUMNS(D483:G483), IFERROR('Technical Sheet'!G35, "-"), "-")</f>
        <v>-</v>
      </c>
      <c r="I483" s="17" t="str">
        <f t="shared" si="11"/>
        <v/>
      </c>
      <c r="J483" s="215"/>
      <c r="K483" s="96"/>
    </row>
    <row r="484" spans="3:11" hidden="1" outlineLevel="1" x14ac:dyDescent="0.3">
      <c r="C484" s="232">
        <v>35</v>
      </c>
      <c r="D484" s="81"/>
      <c r="E484" s="82"/>
      <c r="F484" s="83"/>
      <c r="G484" s="81"/>
      <c r="H484" s="207" t="str">
        <f>IF(COUNTA(D484:G484)=COLUMNS(D484:G484), IFERROR('Technical Sheet'!G36, "-"), "-")</f>
        <v>-</v>
      </c>
      <c r="I484" s="17" t="str">
        <f t="shared" si="11"/>
        <v/>
      </c>
      <c r="J484" s="215"/>
      <c r="K484" s="96"/>
    </row>
    <row r="485" spans="3:11" hidden="1" outlineLevel="1" x14ac:dyDescent="0.3">
      <c r="C485" s="231">
        <v>36</v>
      </c>
      <c r="D485" s="81"/>
      <c r="E485" s="82"/>
      <c r="F485" s="83"/>
      <c r="G485" s="81"/>
      <c r="H485" s="207" t="str">
        <f>IF(COUNTA(D485:G485)=COLUMNS(D485:G485), IFERROR('Technical Sheet'!G37, "-"), "-")</f>
        <v>-</v>
      </c>
      <c r="I485" s="17" t="str">
        <f t="shared" si="11"/>
        <v/>
      </c>
      <c r="J485" s="215"/>
      <c r="K485" s="96"/>
    </row>
    <row r="486" spans="3:11" hidden="1" outlineLevel="1" x14ac:dyDescent="0.3">
      <c r="C486" s="231">
        <v>37</v>
      </c>
      <c r="D486" s="81"/>
      <c r="E486" s="82"/>
      <c r="F486" s="83"/>
      <c r="G486" s="81"/>
      <c r="H486" s="207" t="str">
        <f>IF(COUNTA(D486:G486)=COLUMNS(D486:G486), IFERROR('Technical Sheet'!G38, "-"), "-")</f>
        <v>-</v>
      </c>
      <c r="I486" s="17" t="str">
        <f t="shared" si="11"/>
        <v/>
      </c>
      <c r="J486" s="215"/>
      <c r="K486" s="96"/>
    </row>
    <row r="487" spans="3:11" hidden="1" outlineLevel="1" x14ac:dyDescent="0.3">
      <c r="C487" s="232">
        <v>38</v>
      </c>
      <c r="D487" s="81"/>
      <c r="E487" s="82"/>
      <c r="F487" s="83"/>
      <c r="G487" s="81"/>
      <c r="H487" s="207" t="str">
        <f>IF(COUNTA(D487:G487)=COLUMNS(D487:G487), IFERROR('Technical Sheet'!G39, "-"), "-")</f>
        <v>-</v>
      </c>
      <c r="I487" s="17" t="str">
        <f t="shared" si="11"/>
        <v/>
      </c>
      <c r="J487" s="215"/>
      <c r="K487" s="96"/>
    </row>
    <row r="488" spans="3:11" hidden="1" outlineLevel="1" x14ac:dyDescent="0.3">
      <c r="C488" s="231">
        <v>39</v>
      </c>
      <c r="D488" s="81"/>
      <c r="E488" s="82"/>
      <c r="F488" s="83"/>
      <c r="G488" s="81"/>
      <c r="H488" s="207" t="str">
        <f>IF(COUNTA(D488:G488)=COLUMNS(D488:G488), IFERROR('Technical Sheet'!G40, "-"), "-")</f>
        <v>-</v>
      </c>
      <c r="I488" s="17" t="str">
        <f t="shared" si="11"/>
        <v/>
      </c>
      <c r="J488" s="215"/>
      <c r="K488" s="96"/>
    </row>
    <row r="489" spans="3:11" hidden="1" outlineLevel="1" x14ac:dyDescent="0.3">
      <c r="C489" s="231">
        <v>40</v>
      </c>
      <c r="D489" s="81"/>
      <c r="E489" s="82"/>
      <c r="F489" s="83"/>
      <c r="G489" s="81"/>
      <c r="H489" s="207" t="str">
        <f>IF(COUNTA(D489:G489)=COLUMNS(D489:G489), IFERROR('Technical Sheet'!G41, "-"), "-")</f>
        <v>-</v>
      </c>
      <c r="I489" s="17" t="str">
        <f t="shared" si="11"/>
        <v/>
      </c>
      <c r="J489" s="215"/>
      <c r="K489" s="96"/>
    </row>
    <row r="490" spans="3:11" hidden="1" outlineLevel="1" x14ac:dyDescent="0.3">
      <c r="C490" s="232">
        <v>41</v>
      </c>
      <c r="D490" s="81"/>
      <c r="E490" s="82"/>
      <c r="F490" s="83"/>
      <c r="G490" s="81"/>
      <c r="H490" s="207" t="str">
        <f>IF(COUNTA(D490:G490)=COLUMNS(D490:G490), IFERROR('Technical Sheet'!G42, "-"), "-")</f>
        <v>-</v>
      </c>
      <c r="I490" s="17" t="str">
        <f t="shared" si="11"/>
        <v/>
      </c>
      <c r="J490" s="215"/>
      <c r="K490" s="96"/>
    </row>
    <row r="491" spans="3:11" hidden="1" outlineLevel="1" x14ac:dyDescent="0.3">
      <c r="C491" s="231">
        <v>42</v>
      </c>
      <c r="D491" s="81"/>
      <c r="E491" s="82"/>
      <c r="F491" s="83"/>
      <c r="G491" s="81"/>
      <c r="H491" s="207" t="str">
        <f>IF(COUNTA(D491:G491)=COLUMNS(D491:G491), IFERROR('Technical Sheet'!G43, "-"), "-")</f>
        <v>-</v>
      </c>
      <c r="I491" s="17" t="str">
        <f t="shared" si="11"/>
        <v/>
      </c>
      <c r="J491" s="215"/>
      <c r="K491" s="96"/>
    </row>
    <row r="492" spans="3:11" hidden="1" outlineLevel="1" x14ac:dyDescent="0.3">
      <c r="C492" s="231">
        <v>43</v>
      </c>
      <c r="D492" s="81"/>
      <c r="E492" s="82"/>
      <c r="F492" s="83"/>
      <c r="G492" s="81"/>
      <c r="H492" s="207" t="str">
        <f>IF(COUNTA(D492:G492)=COLUMNS(D492:G492), IFERROR('Technical Sheet'!G44, "-"), "-")</f>
        <v>-</v>
      </c>
      <c r="I492" s="17" t="str">
        <f t="shared" si="11"/>
        <v/>
      </c>
      <c r="J492" s="215"/>
      <c r="K492" s="96"/>
    </row>
    <row r="493" spans="3:11" hidden="1" outlineLevel="1" x14ac:dyDescent="0.3">
      <c r="C493" s="232">
        <v>44</v>
      </c>
      <c r="D493" s="81"/>
      <c r="E493" s="82"/>
      <c r="F493" s="83"/>
      <c r="G493" s="81"/>
      <c r="H493" s="207" t="str">
        <f>IF(COUNTA(D493:G493)=COLUMNS(D493:G493), IFERROR('Technical Sheet'!G45, "-"), "-")</f>
        <v>-</v>
      </c>
      <c r="I493" s="17" t="str">
        <f t="shared" si="11"/>
        <v/>
      </c>
      <c r="J493" s="215"/>
      <c r="K493" s="96"/>
    </row>
    <row r="494" spans="3:11" hidden="1" outlineLevel="1" x14ac:dyDescent="0.3">
      <c r="C494" s="231">
        <v>45</v>
      </c>
      <c r="D494" s="81"/>
      <c r="E494" s="82"/>
      <c r="F494" s="83"/>
      <c r="G494" s="81"/>
      <c r="H494" s="207" t="str">
        <f>IF(COUNTA(D494:G494)=COLUMNS(D494:G494), IFERROR('Technical Sheet'!G46, "-"), "-")</f>
        <v>-</v>
      </c>
      <c r="I494" s="17" t="str">
        <f t="shared" si="11"/>
        <v/>
      </c>
      <c r="J494" s="215"/>
      <c r="K494" s="96"/>
    </row>
    <row r="495" spans="3:11" hidden="1" outlineLevel="1" x14ac:dyDescent="0.3">
      <c r="C495" s="231">
        <v>46</v>
      </c>
      <c r="D495" s="81"/>
      <c r="E495" s="82"/>
      <c r="F495" s="83"/>
      <c r="G495" s="81"/>
      <c r="H495" s="207" t="str">
        <f>IF(COUNTA(D495:G495)=COLUMNS(D495:G495), IFERROR('Technical Sheet'!G47, "-"), "-")</f>
        <v>-</v>
      </c>
      <c r="I495" s="17" t="str">
        <f t="shared" si="11"/>
        <v/>
      </c>
      <c r="J495" s="215"/>
      <c r="K495" s="96"/>
    </row>
    <row r="496" spans="3:11" hidden="1" outlineLevel="1" x14ac:dyDescent="0.3">
      <c r="C496" s="232">
        <v>47</v>
      </c>
      <c r="D496" s="81"/>
      <c r="E496" s="82"/>
      <c r="F496" s="83"/>
      <c r="G496" s="81"/>
      <c r="H496" s="207" t="str">
        <f>IF(COUNTA(D496:G496)=COLUMNS(D496:G496), IFERROR('Technical Sheet'!G48, "-"), "-")</f>
        <v>-</v>
      </c>
      <c r="I496" s="17" t="str">
        <f t="shared" si="11"/>
        <v/>
      </c>
      <c r="J496" s="215"/>
      <c r="K496" s="96"/>
    </row>
    <row r="497" spans="3:11" hidden="1" outlineLevel="1" x14ac:dyDescent="0.3">
      <c r="C497" s="231">
        <v>48</v>
      </c>
      <c r="D497" s="81"/>
      <c r="E497" s="82"/>
      <c r="F497" s="83"/>
      <c r="G497" s="81"/>
      <c r="H497" s="207" t="str">
        <f>IF(COUNTA(D497:G497)=COLUMNS(D497:G497), IFERROR('Technical Sheet'!G49, "-"), "-")</f>
        <v>-</v>
      </c>
      <c r="I497" s="17" t="str">
        <f t="shared" si="11"/>
        <v/>
      </c>
      <c r="J497" s="215"/>
      <c r="K497" s="96"/>
    </row>
    <row r="498" spans="3:11" hidden="1" outlineLevel="1" x14ac:dyDescent="0.3">
      <c r="C498" s="231">
        <v>49</v>
      </c>
      <c r="D498" s="81"/>
      <c r="E498" s="82"/>
      <c r="F498" s="83"/>
      <c r="G498" s="81"/>
      <c r="H498" s="207" t="str">
        <f>IF(COUNTA(D498:G498)=COLUMNS(D498:G498), IFERROR('Technical Sheet'!G50, "-"), "-")</f>
        <v>-</v>
      </c>
      <c r="I498" s="17" t="str">
        <f t="shared" si="11"/>
        <v/>
      </c>
      <c r="J498" s="215"/>
      <c r="K498" s="96"/>
    </row>
    <row r="499" spans="3:11" hidden="1" outlineLevel="1" x14ac:dyDescent="0.3">
      <c r="C499" s="232">
        <v>50</v>
      </c>
      <c r="D499" s="81"/>
      <c r="E499" s="82"/>
      <c r="F499" s="83"/>
      <c r="G499" s="81"/>
      <c r="H499" s="207" t="str">
        <f>IF(COUNTA(D499:G499)=COLUMNS(D499:G499), IFERROR('Technical Sheet'!G51, "-"), "-")</f>
        <v>-</v>
      </c>
      <c r="I499" s="17" t="str">
        <f t="shared" si="11"/>
        <v/>
      </c>
      <c r="J499" s="215"/>
      <c r="K499" s="96"/>
    </row>
    <row r="500" spans="3:11" hidden="1" outlineLevel="1" x14ac:dyDescent="0.3">
      <c r="C500" s="231">
        <v>51</v>
      </c>
      <c r="D500" s="81"/>
      <c r="E500" s="82"/>
      <c r="F500" s="83"/>
      <c r="G500" s="81"/>
      <c r="H500" s="207" t="str">
        <f>IF(COUNTA(D500:G500)=COLUMNS(D500:G500), IFERROR('Technical Sheet'!G52, "-"), "-")</f>
        <v>-</v>
      </c>
      <c r="I500" s="17" t="str">
        <f t="shared" si="11"/>
        <v/>
      </c>
      <c r="J500" s="215"/>
      <c r="K500" s="96"/>
    </row>
    <row r="501" spans="3:11" hidden="1" outlineLevel="1" x14ac:dyDescent="0.3">
      <c r="C501" s="231">
        <v>52</v>
      </c>
      <c r="D501" s="81"/>
      <c r="E501" s="82"/>
      <c r="F501" s="83"/>
      <c r="G501" s="81"/>
      <c r="H501" s="207" t="str">
        <f>IF(COUNTA(D501:G501)=COLUMNS(D501:G501), IFERROR('Technical Sheet'!G53, "-"), "-")</f>
        <v>-</v>
      </c>
      <c r="I501" s="17" t="str">
        <f t="shared" si="11"/>
        <v/>
      </c>
      <c r="J501" s="215"/>
      <c r="K501" s="96"/>
    </row>
    <row r="502" spans="3:11" hidden="1" outlineLevel="1" x14ac:dyDescent="0.3">
      <c r="C502" s="232">
        <v>53</v>
      </c>
      <c r="D502" s="81"/>
      <c r="E502" s="82"/>
      <c r="F502" s="83"/>
      <c r="G502" s="81"/>
      <c r="H502" s="207" t="str">
        <f>IF(COUNTA(D502:G502)=COLUMNS(D502:G502), IFERROR('Technical Sheet'!G54, "-"), "-")</f>
        <v>-</v>
      </c>
      <c r="I502" s="17" t="str">
        <f t="shared" si="11"/>
        <v/>
      </c>
      <c r="J502" s="215"/>
      <c r="K502" s="96"/>
    </row>
    <row r="503" spans="3:11" hidden="1" outlineLevel="1" x14ac:dyDescent="0.3">
      <c r="C503" s="231">
        <v>54</v>
      </c>
      <c r="D503" s="81"/>
      <c r="E503" s="82"/>
      <c r="F503" s="83"/>
      <c r="G503" s="81"/>
      <c r="H503" s="207" t="str">
        <f>IF(COUNTA(D503:G503)=COLUMNS(D503:G503), IFERROR('Technical Sheet'!G55, "-"), "-")</f>
        <v>-</v>
      </c>
      <c r="I503" s="17" t="str">
        <f t="shared" si="11"/>
        <v/>
      </c>
      <c r="J503" s="215"/>
      <c r="K503" s="96"/>
    </row>
    <row r="504" spans="3:11" hidden="1" outlineLevel="1" x14ac:dyDescent="0.3">
      <c r="C504" s="231">
        <v>55</v>
      </c>
      <c r="D504" s="81"/>
      <c r="E504" s="82"/>
      <c r="F504" s="83"/>
      <c r="G504" s="81"/>
      <c r="H504" s="207" t="str">
        <f>IF(COUNTA(D504:G504)=COLUMNS(D504:G504), IFERROR('Technical Sheet'!G56, "-"), "-")</f>
        <v>-</v>
      </c>
      <c r="I504" s="17" t="str">
        <f t="shared" si="11"/>
        <v/>
      </c>
      <c r="J504" s="215"/>
      <c r="K504" s="96"/>
    </row>
    <row r="505" spans="3:11" hidden="1" outlineLevel="1" x14ac:dyDescent="0.3">
      <c r="C505" s="232">
        <v>56</v>
      </c>
      <c r="D505" s="81"/>
      <c r="E505" s="82"/>
      <c r="F505" s="83"/>
      <c r="G505" s="81"/>
      <c r="H505" s="207" t="str">
        <f>IF(COUNTA(D505:G505)=COLUMNS(D505:G505), IFERROR('Technical Sheet'!G57, "-"), "-")</f>
        <v>-</v>
      </c>
      <c r="I505" s="17" t="str">
        <f t="shared" si="11"/>
        <v/>
      </c>
      <c r="J505" s="215"/>
      <c r="K505" s="96"/>
    </row>
    <row r="506" spans="3:11" hidden="1" outlineLevel="1" x14ac:dyDescent="0.3">
      <c r="C506" s="231">
        <v>57</v>
      </c>
      <c r="D506" s="81"/>
      <c r="E506" s="82"/>
      <c r="F506" s="83"/>
      <c r="G506" s="81"/>
      <c r="H506" s="207" t="str">
        <f>IF(COUNTA(D506:G506)=COLUMNS(D506:G506), IFERROR('Technical Sheet'!G58, "-"), "-")</f>
        <v>-</v>
      </c>
      <c r="I506" s="17" t="str">
        <f t="shared" si="11"/>
        <v/>
      </c>
      <c r="J506" s="215"/>
      <c r="K506" s="96"/>
    </row>
    <row r="507" spans="3:11" hidden="1" outlineLevel="1" x14ac:dyDescent="0.3">
      <c r="C507" s="231">
        <v>58</v>
      </c>
      <c r="D507" s="81"/>
      <c r="E507" s="82"/>
      <c r="F507" s="83"/>
      <c r="G507" s="81"/>
      <c r="H507" s="207" t="str">
        <f>IF(COUNTA(D507:G507)=COLUMNS(D507:G507), IFERROR('Technical Sheet'!G59, "-"), "-")</f>
        <v>-</v>
      </c>
      <c r="I507" s="17" t="str">
        <f t="shared" si="11"/>
        <v/>
      </c>
      <c r="J507" s="215"/>
      <c r="K507" s="96"/>
    </row>
    <row r="508" spans="3:11" hidden="1" outlineLevel="1" x14ac:dyDescent="0.3">
      <c r="C508" s="232">
        <v>59</v>
      </c>
      <c r="D508" s="81"/>
      <c r="E508" s="82"/>
      <c r="F508" s="83"/>
      <c r="G508" s="81"/>
      <c r="H508" s="207" t="str">
        <f>IF(COUNTA(D508:G508)=COLUMNS(D508:G508), IFERROR('Technical Sheet'!G60, "-"), "-")</f>
        <v>-</v>
      </c>
      <c r="I508" s="17" t="str">
        <f t="shared" si="11"/>
        <v/>
      </c>
      <c r="J508" s="215"/>
      <c r="K508" s="96"/>
    </row>
    <row r="509" spans="3:11" hidden="1" outlineLevel="1" x14ac:dyDescent="0.3">
      <c r="C509" s="231">
        <v>60</v>
      </c>
      <c r="D509" s="81"/>
      <c r="E509" s="82"/>
      <c r="F509" s="83"/>
      <c r="G509" s="81"/>
      <c r="H509" s="207" t="str">
        <f>IF(COUNTA(D509:G509)=COLUMNS(D509:G509), IFERROR('Technical Sheet'!G61, "-"), "-")</f>
        <v>-</v>
      </c>
      <c r="I509" s="17" t="str">
        <f t="shared" si="11"/>
        <v/>
      </c>
      <c r="J509" s="215"/>
      <c r="K509" s="96"/>
    </row>
    <row r="510" spans="3:11" hidden="1" outlineLevel="1" x14ac:dyDescent="0.3">
      <c r="C510" s="231">
        <v>61</v>
      </c>
      <c r="D510" s="81"/>
      <c r="E510" s="82"/>
      <c r="F510" s="83"/>
      <c r="G510" s="81"/>
      <c r="H510" s="207" t="str">
        <f>IF(COUNTA(D510:G510)=COLUMNS(D510:G510), IFERROR('Technical Sheet'!G62, "-"), "-")</f>
        <v>-</v>
      </c>
      <c r="I510" s="17" t="str">
        <f t="shared" si="11"/>
        <v/>
      </c>
      <c r="J510" s="215"/>
      <c r="K510" s="96"/>
    </row>
    <row r="511" spans="3:11" hidden="1" outlineLevel="1" x14ac:dyDescent="0.3">
      <c r="C511" s="232">
        <v>62</v>
      </c>
      <c r="D511" s="81"/>
      <c r="E511" s="82"/>
      <c r="F511" s="83"/>
      <c r="G511" s="81"/>
      <c r="H511" s="207" t="str">
        <f>IF(COUNTA(D511:G511)=COLUMNS(D511:G511), IFERROR('Technical Sheet'!G63, "-"), "-")</f>
        <v>-</v>
      </c>
      <c r="I511" s="17" t="str">
        <f t="shared" si="11"/>
        <v/>
      </c>
      <c r="J511" s="215"/>
      <c r="K511" s="96"/>
    </row>
    <row r="512" spans="3:11" hidden="1" outlineLevel="1" x14ac:dyDescent="0.3">
      <c r="C512" s="231">
        <v>63</v>
      </c>
      <c r="D512" s="81"/>
      <c r="E512" s="82"/>
      <c r="F512" s="83"/>
      <c r="G512" s="81"/>
      <c r="H512" s="207" t="str">
        <f>IF(COUNTA(D512:G512)=COLUMNS(D512:G512), IFERROR('Technical Sheet'!G64, "-"), "-")</f>
        <v>-</v>
      </c>
      <c r="I512" s="17" t="str">
        <f t="shared" si="11"/>
        <v/>
      </c>
      <c r="J512" s="215"/>
      <c r="K512" s="96"/>
    </row>
    <row r="513" spans="3:11" hidden="1" outlineLevel="1" x14ac:dyDescent="0.3">
      <c r="C513" s="231">
        <v>64</v>
      </c>
      <c r="D513" s="81"/>
      <c r="E513" s="82"/>
      <c r="F513" s="83"/>
      <c r="G513" s="81"/>
      <c r="H513" s="207" t="str">
        <f>IF(COUNTA(D513:G513)=COLUMNS(D513:G513), IFERROR('Technical Sheet'!G65, "-"), "-")</f>
        <v>-</v>
      </c>
      <c r="I513" s="17" t="str">
        <f t="shared" si="11"/>
        <v/>
      </c>
      <c r="J513" s="215"/>
      <c r="K513" s="96"/>
    </row>
    <row r="514" spans="3:11" hidden="1" outlineLevel="1" x14ac:dyDescent="0.3">
      <c r="C514" s="232">
        <v>65</v>
      </c>
      <c r="D514" s="81"/>
      <c r="E514" s="82"/>
      <c r="F514" s="83"/>
      <c r="G514" s="81"/>
      <c r="H514" s="207" t="str">
        <f>IF(COUNTA(D514:G514)=COLUMNS(D514:G514), IFERROR('Technical Sheet'!G66, "-"), "-")</f>
        <v>-</v>
      </c>
      <c r="I514" s="17" t="str">
        <f t="shared" si="11"/>
        <v/>
      </c>
      <c r="J514" s="215"/>
      <c r="K514" s="96"/>
    </row>
    <row r="515" spans="3:11" hidden="1" outlineLevel="1" x14ac:dyDescent="0.3">
      <c r="C515" s="231">
        <v>66</v>
      </c>
      <c r="D515" s="81"/>
      <c r="E515" s="82"/>
      <c r="F515" s="83"/>
      <c r="G515" s="81"/>
      <c r="H515" s="207" t="str">
        <f>IF(COUNTA(D515:G515)=COLUMNS(D515:G515), IFERROR('Technical Sheet'!G67, "-"), "-")</f>
        <v>-</v>
      </c>
      <c r="I515" s="17" t="str">
        <f t="shared" si="11"/>
        <v/>
      </c>
      <c r="J515" s="215"/>
      <c r="K515" s="96"/>
    </row>
    <row r="516" spans="3:11" hidden="1" outlineLevel="1" x14ac:dyDescent="0.3">
      <c r="C516" s="231">
        <v>67</v>
      </c>
      <c r="D516" s="81"/>
      <c r="E516" s="82"/>
      <c r="F516" s="83"/>
      <c r="G516" s="81"/>
      <c r="H516" s="207" t="str">
        <f>IF(COUNTA(D516:G516)=COLUMNS(D516:G516), IFERROR('Technical Sheet'!G68, "-"), "-")</f>
        <v>-</v>
      </c>
      <c r="I516" s="17" t="str">
        <f t="shared" si="11"/>
        <v/>
      </c>
      <c r="J516" s="215"/>
      <c r="K516" s="96"/>
    </row>
    <row r="517" spans="3:11" hidden="1" outlineLevel="1" x14ac:dyDescent="0.3">
      <c r="C517" s="232">
        <v>68</v>
      </c>
      <c r="D517" s="81"/>
      <c r="E517" s="82"/>
      <c r="F517" s="83"/>
      <c r="G517" s="81"/>
      <c r="H517" s="207" t="str">
        <f>IF(COUNTA(D517:G517)=COLUMNS(D517:G517), IFERROR('Technical Sheet'!G69, "-"), "-")</f>
        <v>-</v>
      </c>
      <c r="I517" s="17" t="str">
        <f t="shared" si="11"/>
        <v/>
      </c>
      <c r="J517" s="215"/>
      <c r="K517" s="96"/>
    </row>
    <row r="518" spans="3:11" hidden="1" outlineLevel="1" x14ac:dyDescent="0.3">
      <c r="C518" s="231">
        <v>69</v>
      </c>
      <c r="D518" s="81"/>
      <c r="E518" s="82"/>
      <c r="F518" s="83"/>
      <c r="G518" s="81"/>
      <c r="H518" s="207" t="str">
        <f>IF(COUNTA(D518:G518)=COLUMNS(D518:G518), IFERROR('Technical Sheet'!G70, "-"), "-")</f>
        <v>-</v>
      </c>
      <c r="I518" s="17" t="str">
        <f t="shared" si="11"/>
        <v/>
      </c>
      <c r="J518" s="215"/>
      <c r="K518" s="96"/>
    </row>
    <row r="519" spans="3:11" hidden="1" outlineLevel="1" x14ac:dyDescent="0.3">
      <c r="C519" s="231">
        <v>70</v>
      </c>
      <c r="D519" s="81"/>
      <c r="E519" s="82"/>
      <c r="F519" s="83"/>
      <c r="G519" s="81"/>
      <c r="H519" s="207" t="str">
        <f>IF(COUNTA(D519:G519)=COLUMNS(D519:G519), IFERROR('Technical Sheet'!G71, "-"), "-")</f>
        <v>-</v>
      </c>
      <c r="I519" s="17" t="str">
        <f t="shared" si="11"/>
        <v/>
      </c>
      <c r="J519" s="215"/>
      <c r="K519" s="96"/>
    </row>
    <row r="520" spans="3:11" hidden="1" outlineLevel="1" x14ac:dyDescent="0.3">
      <c r="C520" s="232">
        <v>71</v>
      </c>
      <c r="D520" s="81"/>
      <c r="E520" s="82"/>
      <c r="F520" s="83"/>
      <c r="G520" s="81"/>
      <c r="H520" s="207" t="str">
        <f>IF(COUNTA(D520:G520)=COLUMNS(D520:G520), IFERROR('Technical Sheet'!G72, "-"), "-")</f>
        <v>-</v>
      </c>
      <c r="I520" s="17" t="str">
        <f t="shared" si="11"/>
        <v/>
      </c>
      <c r="J520" s="215"/>
      <c r="K520" s="96"/>
    </row>
    <row r="521" spans="3:11" hidden="1" outlineLevel="1" x14ac:dyDescent="0.3">
      <c r="C521" s="231">
        <v>72</v>
      </c>
      <c r="D521" s="81"/>
      <c r="E521" s="82"/>
      <c r="F521" s="83"/>
      <c r="G521" s="81"/>
      <c r="H521" s="207" t="str">
        <f>IF(COUNTA(D521:G521)=COLUMNS(D521:G521), IFERROR('Technical Sheet'!G73, "-"), "-")</f>
        <v>-</v>
      </c>
      <c r="I521" s="17" t="str">
        <f t="shared" si="11"/>
        <v/>
      </c>
      <c r="J521" s="215"/>
      <c r="K521" s="96"/>
    </row>
    <row r="522" spans="3:11" hidden="1" outlineLevel="1" x14ac:dyDescent="0.3">
      <c r="C522" s="231">
        <v>73</v>
      </c>
      <c r="D522" s="81"/>
      <c r="E522" s="82"/>
      <c r="F522" s="83"/>
      <c r="G522" s="81"/>
      <c r="H522" s="207" t="str">
        <f>IF(COUNTA(D522:G522)=COLUMNS(D522:G522), IFERROR('Technical Sheet'!G74, "-"), "-")</f>
        <v>-</v>
      </c>
      <c r="I522" s="17" t="str">
        <f t="shared" si="11"/>
        <v/>
      </c>
      <c r="J522" s="215"/>
      <c r="K522" s="96"/>
    </row>
    <row r="523" spans="3:11" hidden="1" outlineLevel="1" x14ac:dyDescent="0.3">
      <c r="C523" s="232">
        <v>74</v>
      </c>
      <c r="D523" s="81"/>
      <c r="E523" s="82"/>
      <c r="F523" s="83"/>
      <c r="G523" s="81"/>
      <c r="H523" s="207" t="str">
        <f>IF(COUNTA(D523:G523)=COLUMNS(D523:G523), IFERROR('Technical Sheet'!G75, "-"), "-")</f>
        <v>-</v>
      </c>
      <c r="I523" s="17" t="str">
        <f t="shared" si="11"/>
        <v/>
      </c>
      <c r="J523" s="215"/>
      <c r="K523" s="96"/>
    </row>
    <row r="524" spans="3:11" hidden="1" outlineLevel="1" x14ac:dyDescent="0.3">
      <c r="C524" s="231">
        <v>75</v>
      </c>
      <c r="D524" s="81"/>
      <c r="E524" s="82"/>
      <c r="F524" s="83"/>
      <c r="G524" s="81"/>
      <c r="H524" s="207" t="str">
        <f>IF(COUNTA(D524:G524)=COLUMNS(D524:G524), IFERROR('Technical Sheet'!G76, "-"), "-")</f>
        <v>-</v>
      </c>
      <c r="I524" s="17" t="str">
        <f t="shared" si="11"/>
        <v/>
      </c>
      <c r="J524" s="215"/>
      <c r="K524" s="96"/>
    </row>
    <row r="525" spans="3:11" hidden="1" outlineLevel="1" x14ac:dyDescent="0.3">
      <c r="C525" s="231">
        <v>76</v>
      </c>
      <c r="D525" s="81"/>
      <c r="E525" s="82"/>
      <c r="F525" s="83"/>
      <c r="G525" s="81"/>
      <c r="H525" s="207" t="str">
        <f>IF(COUNTA(D525:G525)=COLUMNS(D525:G525), IFERROR('Technical Sheet'!G77, "-"), "-")</f>
        <v>-</v>
      </c>
      <c r="I525" s="17" t="str">
        <f t="shared" si="11"/>
        <v/>
      </c>
      <c r="J525" s="215"/>
      <c r="K525" s="96"/>
    </row>
    <row r="526" spans="3:11" hidden="1" outlineLevel="1" x14ac:dyDescent="0.3">
      <c r="C526" s="232">
        <v>77</v>
      </c>
      <c r="D526" s="81"/>
      <c r="E526" s="82"/>
      <c r="F526" s="83"/>
      <c r="G526" s="81"/>
      <c r="H526" s="207" t="str">
        <f>IF(COUNTA(D526:G526)=COLUMNS(D526:G526), IFERROR('Technical Sheet'!G78, "-"), "-")</f>
        <v>-</v>
      </c>
      <c r="I526" s="17" t="str">
        <f t="shared" si="11"/>
        <v/>
      </c>
      <c r="J526" s="215"/>
      <c r="K526" s="96"/>
    </row>
    <row r="527" spans="3:11" hidden="1" outlineLevel="1" x14ac:dyDescent="0.3">
      <c r="C527" s="231">
        <v>78</v>
      </c>
      <c r="D527" s="81"/>
      <c r="E527" s="82"/>
      <c r="F527" s="83"/>
      <c r="G527" s="81"/>
      <c r="H527" s="207" t="str">
        <f>IF(COUNTA(D527:G527)=COLUMNS(D527:G527), IFERROR('Technical Sheet'!G79, "-"), "-")</f>
        <v>-</v>
      </c>
      <c r="I527" s="17" t="str">
        <f t="shared" si="11"/>
        <v/>
      </c>
      <c r="J527" s="215"/>
      <c r="K527" s="96"/>
    </row>
    <row r="528" spans="3:11" hidden="1" outlineLevel="1" x14ac:dyDescent="0.3">
      <c r="C528" s="231">
        <v>79</v>
      </c>
      <c r="D528" s="81"/>
      <c r="E528" s="82"/>
      <c r="F528" s="83"/>
      <c r="G528" s="81"/>
      <c r="H528" s="207" t="str">
        <f>IF(COUNTA(D528:G528)=COLUMNS(D528:G528), IFERROR('Technical Sheet'!G80, "-"), "-")</f>
        <v>-</v>
      </c>
      <c r="I528" s="17" t="str">
        <f t="shared" si="11"/>
        <v/>
      </c>
      <c r="J528" s="215"/>
      <c r="K528" s="96"/>
    </row>
    <row r="529" spans="3:11" hidden="1" outlineLevel="1" x14ac:dyDescent="0.3">
      <c r="C529" s="232">
        <v>80</v>
      </c>
      <c r="D529" s="81"/>
      <c r="E529" s="82"/>
      <c r="F529" s="83"/>
      <c r="G529" s="81"/>
      <c r="H529" s="207" t="str">
        <f>IF(COUNTA(D529:G529)=COLUMNS(D529:G529), IFERROR('Technical Sheet'!G81, "-"), "-")</f>
        <v>-</v>
      </c>
      <c r="I529" s="17" t="str">
        <f t="shared" si="11"/>
        <v/>
      </c>
      <c r="J529" s="215"/>
      <c r="K529" s="96"/>
    </row>
    <row r="530" spans="3:11" hidden="1" outlineLevel="1" x14ac:dyDescent="0.3">
      <c r="C530" s="231">
        <v>81</v>
      </c>
      <c r="D530" s="81"/>
      <c r="E530" s="82"/>
      <c r="F530" s="83"/>
      <c r="G530" s="81"/>
      <c r="H530" s="207" t="str">
        <f>IF(COUNTA(D530:G530)=COLUMNS(D530:G530), IFERROR('Technical Sheet'!G82, "-"), "-")</f>
        <v>-</v>
      </c>
      <c r="I530" s="17" t="str">
        <f t="shared" si="11"/>
        <v/>
      </c>
      <c r="J530" s="215"/>
      <c r="K530" s="96"/>
    </row>
    <row r="531" spans="3:11" hidden="1" outlineLevel="1" x14ac:dyDescent="0.3">
      <c r="C531" s="231">
        <v>82</v>
      </c>
      <c r="D531" s="81"/>
      <c r="E531" s="82"/>
      <c r="F531" s="83"/>
      <c r="G531" s="81"/>
      <c r="H531" s="207" t="str">
        <f>IF(COUNTA(D531:G531)=COLUMNS(D531:G531), IFERROR('Technical Sheet'!G83, "-"), "-")</f>
        <v>-</v>
      </c>
      <c r="I531" s="17" t="str">
        <f t="shared" si="11"/>
        <v/>
      </c>
      <c r="J531" s="215"/>
      <c r="K531" s="96"/>
    </row>
    <row r="532" spans="3:11" hidden="1" outlineLevel="1" x14ac:dyDescent="0.3">
      <c r="C532" s="232">
        <v>83</v>
      </c>
      <c r="D532" s="81"/>
      <c r="E532" s="82"/>
      <c r="F532" s="83"/>
      <c r="G532" s="81"/>
      <c r="H532" s="207" t="str">
        <f>IF(COUNTA(D532:G532)=COLUMNS(D532:G532), IFERROR('Technical Sheet'!G84, "-"), "-")</f>
        <v>-</v>
      </c>
      <c r="I532" s="17" t="str">
        <f t="shared" si="11"/>
        <v/>
      </c>
      <c r="J532" s="215"/>
      <c r="K532" s="96"/>
    </row>
    <row r="533" spans="3:11" hidden="1" outlineLevel="1" x14ac:dyDescent="0.3">
      <c r="C533" s="231">
        <v>84</v>
      </c>
      <c r="D533" s="81"/>
      <c r="E533" s="82"/>
      <c r="F533" s="83"/>
      <c r="G533" s="81"/>
      <c r="H533" s="207" t="str">
        <f>IF(COUNTA(D533:G533)=COLUMNS(D533:G533), IFERROR('Technical Sheet'!G85, "-"), "-")</f>
        <v>-</v>
      </c>
      <c r="I533" s="17" t="str">
        <f t="shared" si="11"/>
        <v/>
      </c>
      <c r="J533" s="215"/>
      <c r="K533" s="96"/>
    </row>
    <row r="534" spans="3:11" hidden="1" outlineLevel="1" x14ac:dyDescent="0.3">
      <c r="C534" s="231">
        <v>85</v>
      </c>
      <c r="D534" s="81"/>
      <c r="E534" s="82"/>
      <c r="F534" s="83"/>
      <c r="G534" s="81"/>
      <c r="H534" s="207" t="str">
        <f>IF(COUNTA(D534:G534)=COLUMNS(D534:G534), IFERROR('Technical Sheet'!G86, "-"), "-")</f>
        <v>-</v>
      </c>
      <c r="I534" s="17" t="str">
        <f t="shared" si="11"/>
        <v/>
      </c>
      <c r="J534" s="215"/>
      <c r="K534" s="96"/>
    </row>
    <row r="535" spans="3:11" hidden="1" outlineLevel="1" x14ac:dyDescent="0.3">
      <c r="C535" s="232">
        <v>86</v>
      </c>
      <c r="D535" s="81"/>
      <c r="E535" s="82"/>
      <c r="F535" s="83"/>
      <c r="G535" s="81"/>
      <c r="H535" s="207" t="str">
        <f>IF(COUNTA(D535:G535)=COLUMNS(D535:G535), IFERROR('Technical Sheet'!G87, "-"), "-")</f>
        <v>-</v>
      </c>
      <c r="I535" s="17" t="str">
        <f t="shared" si="11"/>
        <v/>
      </c>
      <c r="J535" s="215"/>
      <c r="K535" s="96"/>
    </row>
    <row r="536" spans="3:11" hidden="1" outlineLevel="1" x14ac:dyDescent="0.3">
      <c r="C536" s="231">
        <v>87</v>
      </c>
      <c r="D536" s="81"/>
      <c r="E536" s="82"/>
      <c r="F536" s="83"/>
      <c r="G536" s="81"/>
      <c r="H536" s="207" t="str">
        <f>IF(COUNTA(D536:G536)=COLUMNS(D536:G536), IFERROR('Technical Sheet'!G88, "-"), "-")</f>
        <v>-</v>
      </c>
      <c r="I536" s="17" t="str">
        <f t="shared" si="11"/>
        <v/>
      </c>
      <c r="J536" s="215"/>
      <c r="K536" s="96"/>
    </row>
    <row r="537" spans="3:11" hidden="1" outlineLevel="1" x14ac:dyDescent="0.3">
      <c r="C537" s="231">
        <v>88</v>
      </c>
      <c r="D537" s="81"/>
      <c r="E537" s="82"/>
      <c r="F537" s="83"/>
      <c r="G537" s="81"/>
      <c r="H537" s="207" t="str">
        <f>IF(COUNTA(D537:G537)=COLUMNS(D537:G537), IFERROR('Technical Sheet'!G89, "-"), "-")</f>
        <v>-</v>
      </c>
      <c r="I537" s="17" t="str">
        <f t="shared" si="11"/>
        <v/>
      </c>
      <c r="J537" s="215"/>
      <c r="K537" s="96"/>
    </row>
    <row r="538" spans="3:11" hidden="1" outlineLevel="1" x14ac:dyDescent="0.3">
      <c r="C538" s="232">
        <v>89</v>
      </c>
      <c r="D538" s="81"/>
      <c r="E538" s="82"/>
      <c r="F538" s="83"/>
      <c r="G538" s="81"/>
      <c r="H538" s="207" t="str">
        <f>IF(COUNTA(D538:G538)=COLUMNS(D538:G538), IFERROR('Technical Sheet'!G90, "-"), "-")</f>
        <v>-</v>
      </c>
      <c r="I538" s="17" t="str">
        <f t="shared" si="11"/>
        <v/>
      </c>
      <c r="J538" s="215"/>
      <c r="K538" s="96"/>
    </row>
    <row r="539" spans="3:11" hidden="1" outlineLevel="1" x14ac:dyDescent="0.3">
      <c r="C539" s="231">
        <v>90</v>
      </c>
      <c r="D539" s="81"/>
      <c r="E539" s="82"/>
      <c r="F539" s="83"/>
      <c r="G539" s="81"/>
      <c r="H539" s="207" t="str">
        <f>IF(COUNTA(D539:G539)=COLUMNS(D539:G539), IFERROR('Technical Sheet'!G91, "-"), "-")</f>
        <v>-</v>
      </c>
      <c r="I539" s="17" t="str">
        <f t="shared" si="11"/>
        <v/>
      </c>
      <c r="J539" s="215"/>
      <c r="K539" s="96"/>
    </row>
    <row r="540" spans="3:11" hidden="1" outlineLevel="1" x14ac:dyDescent="0.3">
      <c r="C540" s="231">
        <v>91</v>
      </c>
      <c r="D540" s="81"/>
      <c r="E540" s="82"/>
      <c r="F540" s="83"/>
      <c r="G540" s="81"/>
      <c r="H540" s="207" t="str">
        <f>IF(COUNTA(D540:G540)=COLUMNS(D540:G540), IFERROR('Technical Sheet'!G92, "-"), "-")</f>
        <v>-</v>
      </c>
      <c r="I540" s="17" t="str">
        <f t="shared" si="11"/>
        <v/>
      </c>
      <c r="J540" s="215"/>
      <c r="K540" s="96"/>
    </row>
    <row r="541" spans="3:11" hidden="1" outlineLevel="1" x14ac:dyDescent="0.3">
      <c r="C541" s="232">
        <v>92</v>
      </c>
      <c r="D541" s="81"/>
      <c r="E541" s="82"/>
      <c r="F541" s="83"/>
      <c r="G541" s="81"/>
      <c r="H541" s="207" t="str">
        <f>IF(COUNTA(D541:G541)=COLUMNS(D541:G541), IFERROR('Technical Sheet'!G93, "-"), "-")</f>
        <v>-</v>
      </c>
      <c r="I541" s="17" t="str">
        <f t="shared" si="11"/>
        <v/>
      </c>
      <c r="J541" s="215"/>
      <c r="K541" s="96"/>
    </row>
    <row r="542" spans="3:11" hidden="1" outlineLevel="1" x14ac:dyDescent="0.3">
      <c r="C542" s="231">
        <v>93</v>
      </c>
      <c r="D542" s="81"/>
      <c r="E542" s="82"/>
      <c r="F542" s="83"/>
      <c r="G542" s="81"/>
      <c r="H542" s="207" t="str">
        <f>IF(COUNTA(D542:G542)=COLUMNS(D542:G542), IFERROR('Technical Sheet'!G94, "-"), "-")</f>
        <v>-</v>
      </c>
      <c r="I542" s="17" t="str">
        <f t="shared" si="11"/>
        <v/>
      </c>
      <c r="J542" s="215"/>
      <c r="K542" s="96"/>
    </row>
    <row r="543" spans="3:11" hidden="1" outlineLevel="1" x14ac:dyDescent="0.3">
      <c r="C543" s="231">
        <v>94</v>
      </c>
      <c r="D543" s="81"/>
      <c r="E543" s="82"/>
      <c r="F543" s="83"/>
      <c r="G543" s="81"/>
      <c r="H543" s="207" t="str">
        <f>IF(COUNTA(D543:G543)=COLUMNS(D543:G543), IFERROR('Technical Sheet'!G95, "-"), "-")</f>
        <v>-</v>
      </c>
      <c r="I543" s="17" t="str">
        <f t="shared" si="11"/>
        <v/>
      </c>
      <c r="J543" s="215"/>
      <c r="K543" s="96"/>
    </row>
    <row r="544" spans="3:11" hidden="1" outlineLevel="1" x14ac:dyDescent="0.3">
      <c r="C544" s="232">
        <v>95</v>
      </c>
      <c r="D544" s="81"/>
      <c r="E544" s="82"/>
      <c r="F544" s="83"/>
      <c r="G544" s="81"/>
      <c r="H544" s="207" t="str">
        <f>IF(COUNTA(D544:G544)=COLUMNS(D544:G544), IFERROR('Technical Sheet'!G96, "-"), "-")</f>
        <v>-</v>
      </c>
      <c r="I544" s="17" t="str">
        <f t="shared" si="11"/>
        <v/>
      </c>
      <c r="J544" s="215"/>
      <c r="K544" s="96"/>
    </row>
    <row r="545" spans="2:17" hidden="1" outlineLevel="1" x14ac:dyDescent="0.3">
      <c r="C545" s="231">
        <v>96</v>
      </c>
      <c r="D545" s="81"/>
      <c r="E545" s="82"/>
      <c r="F545" s="83"/>
      <c r="G545" s="81"/>
      <c r="H545" s="207" t="str">
        <f>IF(COUNTA(D545:G545)=COLUMNS(D545:G545), IFERROR('Technical Sheet'!G97, "-"), "-")</f>
        <v>-</v>
      </c>
      <c r="I545" s="17" t="str">
        <f t="shared" si="11"/>
        <v/>
      </c>
      <c r="J545" s="215"/>
      <c r="K545" s="96"/>
    </row>
    <row r="546" spans="2:17" hidden="1" outlineLevel="1" x14ac:dyDescent="0.3">
      <c r="C546" s="231">
        <v>97</v>
      </c>
      <c r="D546" s="81"/>
      <c r="E546" s="82"/>
      <c r="F546" s="83"/>
      <c r="G546" s="81"/>
      <c r="H546" s="207" t="str">
        <f>IF(COUNTA(D546:G546)=COLUMNS(D546:G546), IFERROR('Technical Sheet'!G98, "-"), "-")</f>
        <v>-</v>
      </c>
      <c r="I546" s="17" t="str">
        <f t="shared" si="11"/>
        <v/>
      </c>
      <c r="J546" s="215"/>
      <c r="K546" s="96"/>
    </row>
    <row r="547" spans="2:17" hidden="1" outlineLevel="1" x14ac:dyDescent="0.3">
      <c r="C547" s="232">
        <v>98</v>
      </c>
      <c r="D547" s="81"/>
      <c r="E547" s="82"/>
      <c r="F547" s="83"/>
      <c r="G547" s="81"/>
      <c r="H547" s="207" t="str">
        <f>IF(COUNTA(D547:G547)=COLUMNS(D547:G547), IFERROR('Technical Sheet'!G99, "-"), "-")</f>
        <v>-</v>
      </c>
      <c r="I547" s="17" t="str">
        <f t="shared" si="11"/>
        <v/>
      </c>
      <c r="J547" s="215"/>
      <c r="K547" s="96"/>
    </row>
    <row r="548" spans="2:17" hidden="1" outlineLevel="1" x14ac:dyDescent="0.3">
      <c r="C548" s="231">
        <v>99</v>
      </c>
      <c r="D548" s="81"/>
      <c r="E548" s="82"/>
      <c r="F548" s="83"/>
      <c r="G548" s="81"/>
      <c r="H548" s="207" t="str">
        <f>IF(COUNTA(D548:G548)=COLUMNS(D548:G548), IFERROR('Technical Sheet'!G100, "-"), "-")</f>
        <v>-</v>
      </c>
      <c r="I548" s="17" t="str">
        <f t="shared" si="11"/>
        <v/>
      </c>
      <c r="J548" s="215" t="str">
        <f>IF(AND(D548&lt;&gt;"", E548&lt;&gt;"", F548&lt;&gt;"", G548&lt;&gt;""),
    IFERROR(HYPERLINK("https://www.openstreetmap.org/search?lat=" &amp; 'Technical Sheet'!E25 &amp; "&amp;lon=" &amp; 'Technical Sheet'!F25, "OpenStreetMap Link"),
    ""),
"")</f>
        <v/>
      </c>
      <c r="K548" s="96" t="str">
        <f t="shared" si="10"/>
        <v>++++</v>
      </c>
    </row>
    <row r="549" spans="2:17" ht="15" hidden="1" outlineLevel="1" thickBot="1" x14ac:dyDescent="0.35">
      <c r="C549" s="233">
        <v>100</v>
      </c>
      <c r="D549" s="78"/>
      <c r="E549" s="79"/>
      <c r="F549" s="80"/>
      <c r="G549" s="78"/>
      <c r="H549" s="468" t="str">
        <f>IF(COUNTA(D549:G549)=COLUMNS(D549:G549), IFERROR('Technical Sheet'!G101, "-"), "-")</f>
        <v>-</v>
      </c>
      <c r="I549" s="17" t="str">
        <f t="shared" si="11"/>
        <v/>
      </c>
      <c r="J549" s="215" t="str">
        <f>IF(AND(D549&lt;&gt;"", E549&lt;&gt;"", F549&lt;&gt;"", G549&lt;&gt;""),
    IFERROR(HYPERLINK("https://www.openstreetmap.org/search?lat=" &amp; 'Technical Sheet'!E26 &amp; "&amp;lon=" &amp; 'Technical Sheet'!F26, "OpenStreetMap Link"),
    ""),
"")</f>
        <v/>
      </c>
      <c r="K549" s="96" t="str">
        <f t="shared" si="10"/>
        <v>++++</v>
      </c>
    </row>
    <row r="550" spans="2:17" ht="15" customHeight="1" collapsed="1" thickBot="1" x14ac:dyDescent="0.35"/>
    <row r="551" spans="2:17" ht="38.1" customHeight="1" x14ac:dyDescent="0.3">
      <c r="C551" s="565"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2024-01-01 to 2024-12-31 [If applicable]</v>
      </c>
      <c r="D551" s="566"/>
      <c r="E551" s="566"/>
      <c r="F551" s="566"/>
      <c r="G551" s="566"/>
      <c r="H551" s="566"/>
      <c r="I551" s="566"/>
      <c r="J551" s="566"/>
      <c r="K551" s="566"/>
      <c r="L551" s="566"/>
      <c r="M551" s="566"/>
      <c r="N551" s="566"/>
      <c r="O551" s="567"/>
    </row>
    <row r="552" spans="2:17" s="10" customFormat="1" x14ac:dyDescent="0.3">
      <c r="C552" s="553" t="s">
        <v>3739</v>
      </c>
      <c r="D552" s="554"/>
      <c r="E552" s="554"/>
      <c r="F552" s="554"/>
      <c r="G552" s="554"/>
      <c r="H552" s="554"/>
      <c r="I552" s="554"/>
      <c r="J552" s="554"/>
      <c r="K552" s="554"/>
      <c r="L552" s="554"/>
      <c r="M552" s="554"/>
      <c r="N552" s="554"/>
      <c r="O552" s="555"/>
      <c r="P552"/>
      <c r="Q552"/>
    </row>
    <row r="553" spans="2:17" x14ac:dyDescent="0.3">
      <c r="C553" s="668" t="s">
        <v>5642</v>
      </c>
      <c r="D553" s="669"/>
      <c r="E553" s="669"/>
      <c r="F553" s="669"/>
      <c r="G553" s="669"/>
      <c r="H553" s="669"/>
      <c r="I553" s="669"/>
      <c r="J553" s="669"/>
      <c r="K553" s="669"/>
      <c r="L553" s="669"/>
      <c r="M553" s="669"/>
      <c r="N553" s="669"/>
      <c r="O553" s="670"/>
    </row>
    <row r="554" spans="2:17" x14ac:dyDescent="0.3">
      <c r="C554" s="673" t="str">
        <f>template_label_has_the_undertaking_put_in_place_specific_practices_policies_and_or_future</f>
        <v>Has the undertaking put in place specific practices policies and or future initiatives for transitioning towards a more sustainable economy?</v>
      </c>
      <c r="D554" s="683" t="str">
        <f>template_label_sustainability_issues_addressed_by_a_practice_policy_and_or_future_initiatives_put_in_place</f>
        <v>Sustainability issues addressed by a practice policy and or future initiatives that the undertaking has put in place</v>
      </c>
      <c r="E554" s="683"/>
      <c r="F554" s="683"/>
      <c r="G554" s="683"/>
      <c r="H554" s="683"/>
      <c r="I554" s="683"/>
      <c r="J554" s="683"/>
      <c r="K554" s="683"/>
      <c r="L554" s="683"/>
      <c r="M554" s="683"/>
      <c r="N554" s="556" t="str">
        <f>template_label_undertaking_has_a_practice_policy_and_or_future_initiative_that_is_publicly_available</f>
        <v>Undertaking has a practice policy and or future initiative that is publicly available</v>
      </c>
      <c r="O554" s="684" t="str">
        <f>template_label_undertaking_has_set_a_target_which_is_related_to_a_policy</f>
        <v>Undertaking has set a target which is related to a policy</v>
      </c>
    </row>
    <row r="555" spans="2:17" ht="41.4" customHeight="1" x14ac:dyDescent="0.3">
      <c r="C555" s="674"/>
      <c r="D555" s="85" t="str">
        <f>template_label_climate_change</f>
        <v>Climate change</v>
      </c>
      <c r="E555" s="85" t="str">
        <f>template_label_pollution</f>
        <v>Pollution</v>
      </c>
      <c r="F555" s="85" t="str">
        <f>template_label_water_and_marine_resources</f>
        <v>Water and marine resources</v>
      </c>
      <c r="G555" s="85" t="str">
        <f>template_label_biodiversity_and_ecosystems</f>
        <v>Biodiversity and ecosystems</v>
      </c>
      <c r="H555" s="85" t="str">
        <f>template_label_circular_economy</f>
        <v>Circular economy</v>
      </c>
      <c r="I555" s="85" t="str">
        <f>template_label_own_workforce</f>
        <v>Own workforce</v>
      </c>
      <c r="J555" s="85" t="str">
        <f>template_label_workers_in_the_value_chain</f>
        <v>Workers in the value chain</v>
      </c>
      <c r="K555" s="85" t="str">
        <f>template_label_affected_communities</f>
        <v>Affected communities</v>
      </c>
      <c r="L555" s="85" t="str">
        <f>template_label_consumers_and_endusers_validation</f>
        <v>Consumers and end-users</v>
      </c>
      <c r="M555" s="85" t="str">
        <f>template_label_business_conduct</f>
        <v>Business conduct</v>
      </c>
      <c r="N555" s="558"/>
      <c r="O555" s="685"/>
    </row>
    <row r="556" spans="2:17" ht="15" thickBot="1" x14ac:dyDescent="0.35">
      <c r="C556" s="206" t="b">
        <v>1</v>
      </c>
      <c r="D556" s="205" t="b">
        <v>1</v>
      </c>
      <c r="E556" s="203" t="b">
        <v>0</v>
      </c>
      <c r="F556" s="203" t="b">
        <v>1</v>
      </c>
      <c r="G556" s="203" t="b">
        <v>0</v>
      </c>
      <c r="H556" s="203" t="b">
        <v>1</v>
      </c>
      <c r="I556" s="203" t="b">
        <v>0</v>
      </c>
      <c r="J556" s="203" t="b">
        <v>1</v>
      </c>
      <c r="K556" s="203" t="b">
        <v>0</v>
      </c>
      <c r="L556" s="203" t="b">
        <v>1</v>
      </c>
      <c r="M556" s="203" t="b">
        <v>0</v>
      </c>
      <c r="N556" s="203" t="b">
        <v>1</v>
      </c>
      <c r="O556" s="204" t="b">
        <v>0</v>
      </c>
      <c r="P556" s="16" t="str">
        <f>IF(C556=TRUE, IF(COUNTIF(D556:M556, TRUE)&gt;0, template_label_ok, template_label_missing_value), "")</f>
        <v>OK</v>
      </c>
    </row>
    <row r="557" spans="2:17" ht="57.45" customHeight="1" thickBot="1" x14ac:dyDescent="0.35">
      <c r="F557"/>
    </row>
    <row r="558" spans="2:17" x14ac:dyDescent="0.3">
      <c r="C558" s="660"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2024-01-01 to 2024-12-31 [If applicable]</v>
      </c>
      <c r="D558" s="661"/>
      <c r="F558"/>
    </row>
    <row r="559" spans="2:17" x14ac:dyDescent="0.3">
      <c r="C559" s="671">
        <v>15</v>
      </c>
      <c r="D559" s="672"/>
      <c r="F559"/>
    </row>
    <row r="560" spans="2:17" ht="30.6" customHeight="1" x14ac:dyDescent="0.3">
      <c r="B560" s="251"/>
      <c r="C560" s="2" t="str">
        <f>template_label_effective_participation_of_workers_users_or_other_interested_parties_or_communities_in_governance</f>
        <v>Effective participation of workers users or other interested parties or communities in governance</v>
      </c>
      <c r="D560" s="294"/>
      <c r="E560" s="16" t="str">
        <f>IF(AND(D560&lt;&gt;"", UndertakingsLegalForm="cooperative"), template_label_ok, "")</f>
        <v/>
      </c>
      <c r="F560"/>
    </row>
    <row r="561" spans="1:8" ht="57" customHeight="1" x14ac:dyDescent="0.3">
      <c r="B561" s="251"/>
      <c r="C561" s="421" t="str">
        <f>template_label_financial_investment_in_the_capital_or_assets_of_social_economy_entities</f>
        <v>Financial investment in the capital or assets of social economy entities referred to in the Council Recommendation of 29 September 2023 (excluding donations and contributions)</v>
      </c>
      <c r="D561" s="295"/>
      <c r="E561" s="16" t="str">
        <f>IF(AND(D561&lt;&gt;"", UndertakingsLegalForm="cooperative"), template_label_ok, "")</f>
        <v/>
      </c>
      <c r="F561"/>
    </row>
    <row r="562" spans="1:8" ht="47.4" customHeight="1" thickBot="1" x14ac:dyDescent="0.35">
      <c r="B562" s="251"/>
      <c r="C562" s="113" t="str">
        <f>template_label_limits_to_the_distribution_of_profits</f>
        <v>Any limits to the distribution of profits connected to the mutualistic nature or to the nature of the activities consisting in services of general economic interest (SGEI)</v>
      </c>
      <c r="D562" s="296"/>
      <c r="E562" s="16" t="str">
        <f>IF(AND(D562&lt;&gt;"", UndertakingsLegalForm="cooperative"), template_label_ok, "")</f>
        <v/>
      </c>
      <c r="F562"/>
    </row>
    <row r="563" spans="1:8" ht="49.95" customHeight="1" thickBot="1" x14ac:dyDescent="0.35">
      <c r="C563" s="119"/>
      <c r="F563"/>
    </row>
    <row r="564" spans="1:8" x14ac:dyDescent="0.3">
      <c r="C564" s="638"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2024-01-01 to 2024-12-31 [If applicable linked with B2]</v>
      </c>
      <c r="D564" s="639"/>
      <c r="E564" s="639"/>
      <c r="F564" s="639"/>
      <c r="G564" s="640"/>
    </row>
    <row r="565" spans="1:8" ht="37.950000000000003" customHeight="1" x14ac:dyDescent="0.3">
      <c r="A565" s="443">
        <v>48</v>
      </c>
      <c r="B565" s="446">
        <v>149</v>
      </c>
      <c r="C565" s="649"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565" s="650"/>
      <c r="E565" s="693" t="s">
        <v>9554</v>
      </c>
      <c r="F565" s="694"/>
      <c r="G565" s="695"/>
      <c r="H565" s="16" t="str">
        <f>IF(AND(BasisForPreparation="Option B (Basic Module and Comprehensive Module)", C556=TRUE, DescriptionOfPracticesPoliciesAndOrFutureInitiatives=""), template_label_missing_value,
IF(AND(BasisForPreparation="Option B (Basic Module and Comprehensive Module)", C556=TRUE, DescriptionOfPracticesPoliciesAndOrFutureInitiatives&lt;&gt;""), template_label_ok,
IF(AND(BasisForPreparation="Option A (Basic Module only)", E565&lt;&gt;""), template_label_ok, "")))</f>
        <v>OK</v>
      </c>
    </row>
    <row r="566" spans="1:8" x14ac:dyDescent="0.3">
      <c r="A566" s="250" t="s">
        <v>1</v>
      </c>
      <c r="B566" s="446">
        <v>149</v>
      </c>
      <c r="C566" s="605" t="str">
        <f>template_label_description_of_target_related_to_a_policy</f>
        <v>Description of target related to a policy</v>
      </c>
      <c r="D566" s="606"/>
      <c r="E566" s="693"/>
      <c r="F566" s="694"/>
      <c r="G566" s="695"/>
      <c r="H566" s="16" t="str">
        <f>IF(AND(BasisForPreparation="Option B (Basic Module and Comprehensive Module)", C556=TRUE, O556=TRUE, E566=""), template_label_missing_value,
IF(AND(BasisForPreparation="Option B (Basic Module and Comprehensive Module)", C556=TRUE, O556=TRUE, E566&lt;&gt;""), template_label_ok,
IF(AND(BasisForPreparation="Option A (Basic Module only)", E566&lt;&gt;""), template_label_ok, "")))</f>
        <v/>
      </c>
    </row>
    <row r="567" spans="1:8" ht="15" thickBot="1" x14ac:dyDescent="0.35">
      <c r="A567" s="443">
        <v>49</v>
      </c>
      <c r="B567" s="446">
        <v>149</v>
      </c>
      <c r="C567" s="589" t="str">
        <f>template_label_most_senior_level_accountable_for_implementing_practices_policies_and_or_future_initiatives</f>
        <v>Most senior level within its employees that is accountable for implementing the policies when this has been determined by the undertaking</v>
      </c>
      <c r="D567" s="590"/>
      <c r="E567" s="696" t="s">
        <v>9554</v>
      </c>
      <c r="F567" s="697"/>
      <c r="G567" s="698"/>
      <c r="H567" s="16" t="str">
        <f>IF(AND(BasisForPreparation="Option B (Basic Module and Comprehensive Module)", C556=TRUE, MostSeniorLevelAccountableForImplementationOfPolicies=""), "",
IF(AND(BasisForPreparation="Option B (Basic Module and Comprehensive Module)", C556=TRUE, MostSeniorLevelAccountableForImplementationOfPolicies&lt;&gt;""), template_label_ok,
IF(AND(BasisForPreparation="Option A (Basic Module only)", E567&lt;&gt;""), template_label_ok, "")))</f>
        <v>OK</v>
      </c>
    </row>
    <row r="568" spans="1:8" ht="14.7" customHeight="1" x14ac:dyDescent="0.3">
      <c r="F568"/>
    </row>
    <row r="569" spans="1:8" ht="14.7" customHeight="1" thickBot="1" x14ac:dyDescent="0.35">
      <c r="F569"/>
    </row>
    <row r="570" spans="1:8" ht="14.85" customHeight="1" x14ac:dyDescent="0.3">
      <c r="C570" s="638"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f>
        <v>C1 – Strategy: Business Model and Sustainability – Related Initiatives from 2024-01-01 to 2024-12-31 [Always to be reported]</v>
      </c>
      <c r="D570" s="639"/>
      <c r="E570" s="639"/>
      <c r="F570" s="639"/>
      <c r="G570" s="640"/>
    </row>
    <row r="571" spans="1:8" x14ac:dyDescent="0.3">
      <c r="A571" s="441" t="s">
        <v>3740</v>
      </c>
      <c r="B571" s="249" t="s">
        <v>1</v>
      </c>
      <c r="C571" s="593" t="str">
        <f>template_label_description_of_significant_groups_of_products_and_or_services_offered</f>
        <v>Description of significant groups of products and or services offered</v>
      </c>
      <c r="D571" s="594"/>
      <c r="E571" s="580" t="s">
        <v>9554</v>
      </c>
      <c r="F571" s="581"/>
      <c r="G571" s="582"/>
      <c r="H571" s="16" t="str">
        <f>IF(AND($E$122="Option B (Basic Module and Comprehensive Module)", E571=""), template_label_missing_value,
   IF(AND($E$122="Option A (Basic Module only)", E571&lt;&gt;""), template_label_ok,
   IF(AND($E$122="Option B (Basic Module and Comprehensive Module)", E571&lt;&gt;""), template_label_ok, "")))</f>
        <v>OK</v>
      </c>
    </row>
    <row r="572" spans="1:8" x14ac:dyDescent="0.3">
      <c r="A572" s="441" t="s">
        <v>3741</v>
      </c>
      <c r="B572" s="249" t="s">
        <v>1</v>
      </c>
      <c r="C572" s="595" t="str">
        <f>template_label_description_of_significant_market_the_undertaking_operates_in</f>
        <v>Description of significant market(s) the undertaking operates in (e.g. B2B, wholesale, retail, countries)</v>
      </c>
      <c r="D572" s="596"/>
      <c r="E572" s="583" t="s">
        <v>9554</v>
      </c>
      <c r="F572" s="583"/>
      <c r="G572" s="584"/>
      <c r="H572" s="16" t="str">
        <f>IF(AND($E$122="Option B (Basic Module and Comprehensive Module)", E572=""), template_label_missing_value,
   IF(AND($E$122="Option A (Basic Module only)", E572&lt;&gt;""), template_label_ok,
   IF(AND($E$122="Option B (Basic Module and Comprehensive Module)", E572&lt;&gt;""), template_label_ok, "")))</f>
        <v>OK</v>
      </c>
    </row>
    <row r="573" spans="1:8" ht="15" thickBot="1" x14ac:dyDescent="0.35">
      <c r="A573" s="441" t="s">
        <v>3742</v>
      </c>
      <c r="B573" s="444">
        <v>148</v>
      </c>
      <c r="C573" s="591" t="str">
        <f>template_label_description_of_main_business_relationships</f>
        <v>Description of main business relationships (such as key suppliers, customers, distribution channels)</v>
      </c>
      <c r="D573" s="592"/>
      <c r="E573" s="585" t="s">
        <v>9554</v>
      </c>
      <c r="F573" s="585"/>
      <c r="G573" s="586"/>
      <c r="H573" s="16" t="str">
        <f>IF(AND($E$122="Option B (Basic Module and Comprehensive Module)", E573=""), template_label_missing_value,
   IF(AND($E$122="Option A (Basic Module only)", E573&lt;&gt;""), template_label_ok,
   IF(AND($E$122="Option B (Basic Module and Comprehensive Module)", E573&lt;&gt;""), template_label_ok, "")))</f>
        <v>OK</v>
      </c>
    </row>
    <row r="574" spans="1:8" ht="27" customHeight="1" thickBot="1" x14ac:dyDescent="0.35">
      <c r="F574"/>
    </row>
    <row r="575" spans="1:8" ht="14.4" customHeight="1" x14ac:dyDescent="0.3">
      <c r="C575" s="638" t="str">
        <f xml:space="preserve"> template_label_c1_strategy_business_model_and_sustainability_related_initiatives &amp; " " &amp; template_label_from &amp; " " &amp; template_starting_date_display &amp; " " &amp; template_label_to &amp; " " &amp; template_ending_date_display &amp; " " &amp; template_label_if_applicable</f>
        <v>C1 – Strategy: Business Model and Sustainability – Related Initiatives from 2024-01-01 to 2024-12-31 [If applicable]</v>
      </c>
      <c r="D575" s="639"/>
      <c r="E575" s="639"/>
      <c r="F575" s="639"/>
      <c r="G575" s="640"/>
    </row>
    <row r="576" spans="1:8" x14ac:dyDescent="0.3">
      <c r="C576" s="689" t="str">
        <f>template_label_has_the_strategy_key_elements_that_relate_to_or_affect_sustainability_issues</f>
        <v>Has the strategy key elements that relate to or affect sustainability issues?</v>
      </c>
      <c r="D576" s="690"/>
      <c r="E576" s="691" t="b">
        <v>1</v>
      </c>
      <c r="F576" s="691"/>
      <c r="G576" s="692"/>
    </row>
    <row r="577" spans="1:15" ht="15" thickBot="1" x14ac:dyDescent="0.35">
      <c r="A577" s="441" t="s">
        <v>3743</v>
      </c>
      <c r="B577" s="249" t="s">
        <v>1</v>
      </c>
      <c r="C577" s="589" t="str">
        <f>template_label_description_of_those_key_elements_in_the_strategy_that_relate_or_affect_sustainability_issues</f>
        <v>Description of those key elements in the strategy that relate or affect sustainability issues</v>
      </c>
      <c r="D577" s="590"/>
      <c r="E577" s="587" t="s">
        <v>9554</v>
      </c>
      <c r="F577" s="587"/>
      <c r="G577" s="588"/>
      <c r="H577" s="16" t="str">
        <f>IF(AND($E$122="Option B (Basic Module and Comprehensive Module)", E577="", E576=TRUE), template_label_missing_value,
   IF(AND($E$122="Option A (Basic Module only)", E577&lt;&gt;"", E576=TRUE), template_label_ok,
   IF(AND($E$122="Option B (Basic Module and Comprehensive Module)", E577&lt;&gt;"", E576=TRUE), template_label_ok, "")))</f>
        <v>OK</v>
      </c>
    </row>
    <row r="578" spans="1:15" ht="15" thickBot="1" x14ac:dyDescent="0.35"/>
    <row r="579" spans="1:15" ht="14.85" customHeight="1" x14ac:dyDescent="0.3">
      <c r="C579" s="577" t="str">
        <f xml:space="preserve"> template_label_disclosure_of_any_other_general_and_or_entity_specific_information_on_the_reporting_period &amp; " " &amp; template_label_from &amp; " " &amp; template_starting_date_display &amp; " " &amp; template_label_to &amp; " " &amp; template_ending_date_display &amp; " " &amp; template_label_may</f>
        <v>Disclosure of any other general and or entity specific information on the reporting period from 2024-01-01 to 2024-12-31 [May (optional)]</v>
      </c>
      <c r="D579" s="578"/>
      <c r="E579" s="578"/>
      <c r="F579" s="578"/>
      <c r="G579" s="578"/>
      <c r="H579" s="579"/>
      <c r="I579" s="10"/>
      <c r="J579" s="10"/>
      <c r="K579" s="10"/>
      <c r="L579" s="10"/>
      <c r="M579" s="10"/>
      <c r="N579" s="10"/>
      <c r="O579" s="10"/>
    </row>
    <row r="580" spans="1:15" ht="14.85" customHeight="1" x14ac:dyDescent="0.3">
      <c r="B580" s="251"/>
      <c r="C580" s="575">
        <v>10</v>
      </c>
      <c r="D580" s="575"/>
      <c r="E580" s="575"/>
      <c r="F580" s="575"/>
      <c r="G580" s="575"/>
      <c r="H580" s="576"/>
      <c r="I580" s="10"/>
      <c r="J580" s="10"/>
      <c r="K580" s="10"/>
      <c r="L580" s="10"/>
      <c r="M580" s="10"/>
      <c r="N580" s="10"/>
      <c r="O580" s="10"/>
    </row>
    <row r="581" spans="1:15" ht="15" thickBot="1" x14ac:dyDescent="0.35">
      <c r="C581" s="571"/>
      <c r="D581" s="572"/>
      <c r="E581" s="572"/>
      <c r="F581" s="572"/>
      <c r="G581" s="572"/>
      <c r="H581" s="572"/>
      <c r="I581" s="87" t="str">
        <f>IF(C581&lt;&gt;"", template_label_ok, "")</f>
        <v/>
      </c>
    </row>
  </sheetData>
  <sheetProtection algorithmName="SHA-512" hashValue="/Tbt5pFQL2Kn6pQkzaedYbm0G1tV9X1+BKHG38E2netOKXl77OD+H7icwWDMNV4rxBBI+LsHJ4G/qeI2u9+Z+Q==" saltValue="lqiPM2tqId1HJzMjzruAPA==" spinCount="100000" sheet="1" formatColumns="0" formatRows="0" insertRows="0"/>
  <mergeCells count="87">
    <mergeCell ref="C576:D576"/>
    <mergeCell ref="E576:G576"/>
    <mergeCell ref="C575:G575"/>
    <mergeCell ref="C567:D567"/>
    <mergeCell ref="E565:G565"/>
    <mergeCell ref="E567:G567"/>
    <mergeCell ref="E566:G566"/>
    <mergeCell ref="C565:D565"/>
    <mergeCell ref="C566:D566"/>
    <mergeCell ref="C570:G570"/>
    <mergeCell ref="C558:D558"/>
    <mergeCell ref="C437:H437"/>
    <mergeCell ref="C439:H439"/>
    <mergeCell ref="C553:O553"/>
    <mergeCell ref="C559:D559"/>
    <mergeCell ref="C554:C555"/>
    <mergeCell ref="C440:D440"/>
    <mergeCell ref="E440:H440"/>
    <mergeCell ref="C445:H445"/>
    <mergeCell ref="C444:H444"/>
    <mergeCell ref="C443:H443"/>
    <mergeCell ref="D554:M554"/>
    <mergeCell ref="N554:N555"/>
    <mergeCell ref="O554:O555"/>
    <mergeCell ref="C446:C449"/>
    <mergeCell ref="G446:G449"/>
    <mergeCell ref="C564:G564"/>
    <mergeCell ref="C2:E2"/>
    <mergeCell ref="C441:D441"/>
    <mergeCell ref="C16:E16"/>
    <mergeCell ref="C122:D122"/>
    <mergeCell ref="C18:D18"/>
    <mergeCell ref="C327:D327"/>
    <mergeCell ref="C328:D328"/>
    <mergeCell ref="C17:E17"/>
    <mergeCell ref="C223:D223"/>
    <mergeCell ref="C333:E333"/>
    <mergeCell ref="D3:E3"/>
    <mergeCell ref="D5:E5"/>
    <mergeCell ref="D6:E6"/>
    <mergeCell ref="D7:E7"/>
    <mergeCell ref="G6:K8"/>
    <mergeCell ref="A224:A225"/>
    <mergeCell ref="B224:B225"/>
    <mergeCell ref="C225:D225"/>
    <mergeCell ref="C224:D224"/>
    <mergeCell ref="D9:E9"/>
    <mergeCell ref="D10:E10"/>
    <mergeCell ref="D11:E11"/>
    <mergeCell ref="D12:E12"/>
    <mergeCell ref="D13:E13"/>
    <mergeCell ref="C121:E121"/>
    <mergeCell ref="C19:D118"/>
    <mergeCell ref="C123:D222"/>
    <mergeCell ref="B123:B222"/>
    <mergeCell ref="A123:A222"/>
    <mergeCell ref="A226:A325"/>
    <mergeCell ref="B226:B325"/>
    <mergeCell ref="C330:D330"/>
    <mergeCell ref="C331:D331"/>
    <mergeCell ref="C326:D326"/>
    <mergeCell ref="C329:D329"/>
    <mergeCell ref="C226:D325"/>
    <mergeCell ref="F6:F8"/>
    <mergeCell ref="F10:F12"/>
    <mergeCell ref="D8:E8"/>
    <mergeCell ref="C581:H581"/>
    <mergeCell ref="C119:D119"/>
    <mergeCell ref="C580:H580"/>
    <mergeCell ref="C579:H579"/>
    <mergeCell ref="E571:G571"/>
    <mergeCell ref="E572:G572"/>
    <mergeCell ref="E573:G573"/>
    <mergeCell ref="E577:G577"/>
    <mergeCell ref="C577:D577"/>
    <mergeCell ref="C573:D573"/>
    <mergeCell ref="C571:D571"/>
    <mergeCell ref="C572:D572"/>
    <mergeCell ref="C438:H438"/>
    <mergeCell ref="G10:K12"/>
    <mergeCell ref="C552:O552"/>
    <mergeCell ref="F446:F449"/>
    <mergeCell ref="E446:E449"/>
    <mergeCell ref="D446:D449"/>
    <mergeCell ref="C334:E334"/>
    <mergeCell ref="E441:H441"/>
    <mergeCell ref="C551:O551"/>
  </mergeCells>
  <phoneticPr fontId="3" type="noConversion"/>
  <conditionalFormatting sqref="C19 E19:E119 C119:D119">
    <cfRule type="expression" dxfId="336" priority="87">
      <formula>$E$18=TRUE</formula>
    </cfRule>
  </conditionalFormatting>
  <conditionalFormatting sqref="C225">
    <cfRule type="expression" dxfId="335" priority="103">
      <formula>$E$224="other (please specify the legal form in the row below)"</formula>
    </cfRule>
  </conditionalFormatting>
  <conditionalFormatting sqref="D560:D562">
    <cfRule type="expression" dxfId="334" priority="8">
      <formula>$E$224="cooperative"</formula>
    </cfRule>
  </conditionalFormatting>
  <conditionalFormatting sqref="D336:E435">
    <cfRule type="expression" dxfId="333" priority="55">
      <formula>$E$223="Sustainability report prepared on a consolidated basis"</formula>
    </cfRule>
  </conditionalFormatting>
  <conditionalFormatting sqref="D556:O556 E565 E567">
    <cfRule type="expression" dxfId="332" priority="17">
      <formula>$C$556=TRUE</formula>
    </cfRule>
  </conditionalFormatting>
  <conditionalFormatting sqref="D556:O556">
    <cfRule type="expression" dxfId="331" priority="27">
      <formula>$C$556=TRUE</formula>
    </cfRule>
  </conditionalFormatting>
  <conditionalFormatting sqref="E19:E118">
    <cfRule type="expression" dxfId="330" priority="141">
      <formula>AND(ISBLANK(#REF!), $E$18=TRUE)</formula>
    </cfRule>
  </conditionalFormatting>
  <conditionalFormatting sqref="E124:E222">
    <cfRule type="expression" dxfId="329" priority="75">
      <formula>$E$18=TRUE</formula>
    </cfRule>
    <cfRule type="expression" dxfId="328" priority="76">
      <formula>AND(ISBLANK(#REF!), $E$18=TRUE)</formula>
    </cfRule>
  </conditionalFormatting>
  <conditionalFormatting sqref="E225">
    <cfRule type="expression" dxfId="327" priority="102">
      <formula>$E$224="other (please specify the legal form in the row below)"</formula>
    </cfRule>
  </conditionalFormatting>
  <conditionalFormatting sqref="E440">
    <cfRule type="expression" dxfId="326" priority="53">
      <formula>$D$347="YES"</formula>
    </cfRule>
  </conditionalFormatting>
  <conditionalFormatting sqref="E560:E562">
    <cfRule type="expression" dxfId="325" priority="11">
      <formula>$E560=template_label_ok</formula>
    </cfRule>
  </conditionalFormatting>
  <conditionalFormatting sqref="E566:G566">
    <cfRule type="expression" dxfId="324" priority="371">
      <formula>AND($C$556=TRUE,$O$556=TRUE)</formula>
    </cfRule>
  </conditionalFormatting>
  <conditionalFormatting sqref="E577:G577">
    <cfRule type="expression" dxfId="323" priority="44">
      <formula>$E$576=TRUE</formula>
    </cfRule>
  </conditionalFormatting>
  <conditionalFormatting sqref="E441:H441">
    <cfRule type="expression" dxfId="322" priority="52">
      <formula>$E$440=TRUE</formula>
    </cfRule>
  </conditionalFormatting>
  <conditionalFormatting sqref="F3:F5 F336:F435">
    <cfRule type="expression" dxfId="321" priority="147">
      <formula>$F3=template_label_missing_value</formula>
    </cfRule>
    <cfRule type="expression" dxfId="320" priority="146">
      <formula>$F3=template_label_ok</formula>
    </cfRule>
  </conditionalFormatting>
  <conditionalFormatting sqref="F6:F8">
    <cfRule type="expression" dxfId="319" priority="2">
      <formula>$F$6=template_label_error</formula>
    </cfRule>
    <cfRule type="expression" dxfId="318" priority="57">
      <formula>$F$6=template_label_value_inconsistency</formula>
    </cfRule>
    <cfRule type="expression" dxfId="317" priority="59">
      <formula>$F$6=template_label_ok</formula>
    </cfRule>
    <cfRule type="expression" dxfId="316" priority="60">
      <formula>$F$6=template_label_missing_value</formula>
    </cfRule>
  </conditionalFormatting>
  <conditionalFormatting sqref="F10">
    <cfRule type="expression" dxfId="315" priority="56">
      <formula>$F$10=template_label_error</formula>
    </cfRule>
    <cfRule type="expression" dxfId="314" priority="61">
      <formula>$F$10=template_label_missing_value</formula>
    </cfRule>
    <cfRule type="expression" dxfId="313" priority="62">
      <formula>$F$10=template_label_value_inconsistency</formula>
    </cfRule>
    <cfRule type="expression" dxfId="312" priority="63">
      <formula>$F$10=template_label_ok</formula>
    </cfRule>
  </conditionalFormatting>
  <conditionalFormatting sqref="F13:F14">
    <cfRule type="expression" dxfId="311" priority="65">
      <formula>$F13="OK"</formula>
    </cfRule>
    <cfRule type="expression" dxfId="310" priority="64">
      <formula>$F13="MISSING VALUE"</formula>
    </cfRule>
  </conditionalFormatting>
  <conditionalFormatting sqref="F18">
    <cfRule type="expression" dxfId="309" priority="88">
      <formula>$F$18=template_label_ok</formula>
    </cfRule>
  </conditionalFormatting>
  <conditionalFormatting sqref="F19:F119">
    <cfRule type="expression" dxfId="308" priority="7">
      <formula>$F19=template_label_value_inconsistency</formula>
    </cfRule>
    <cfRule type="expression" dxfId="307" priority="85">
      <formula>$F19=template_label_missing_value</formula>
    </cfRule>
    <cfRule type="expression" dxfId="306" priority="86">
      <formula>$F19=template_label_ok</formula>
    </cfRule>
  </conditionalFormatting>
  <conditionalFormatting sqref="F119">
    <cfRule type="expression" dxfId="305" priority="12">
      <formula>$F$119=template_label_invalid_url</formula>
    </cfRule>
  </conditionalFormatting>
  <conditionalFormatting sqref="F122">
    <cfRule type="expression" dxfId="304" priority="69">
      <formula>$F122=template_label_ok</formula>
    </cfRule>
    <cfRule type="expression" dxfId="303" priority="68">
      <formula>$F122=template_label_missing_value</formula>
    </cfRule>
  </conditionalFormatting>
  <conditionalFormatting sqref="F123">
    <cfRule type="expression" dxfId="302" priority="119">
      <formula>$F$123=template_label_ok</formula>
    </cfRule>
    <cfRule type="expression" dxfId="301" priority="5">
      <formula>$F$123=template_label_value_inconsistency</formula>
    </cfRule>
    <cfRule type="expression" dxfId="300" priority="118">
      <formula>$F$123=template_label_missing_value</formula>
    </cfRule>
  </conditionalFormatting>
  <conditionalFormatting sqref="F124:F222">
    <cfRule type="expression" dxfId="299" priority="74">
      <formula>$F124="OK"</formula>
    </cfRule>
    <cfRule type="expression" dxfId="298" priority="6">
      <formula>$F124="VALUE INCONSISTENCY"</formula>
    </cfRule>
    <cfRule type="expression" dxfId="297" priority="73">
      <formula>$F124="MISSING VALUE"</formula>
    </cfRule>
  </conditionalFormatting>
  <conditionalFormatting sqref="F223">
    <cfRule type="expression" dxfId="296" priority="128">
      <formula>$F$223=template_label_ok</formula>
    </cfRule>
    <cfRule type="expression" dxfId="295" priority="151">
      <formula>$F$223=template_label_missing_value</formula>
    </cfRule>
  </conditionalFormatting>
  <conditionalFormatting sqref="F224">
    <cfRule type="expression" dxfId="294" priority="127">
      <formula>$F$224=template_label_ok</formula>
    </cfRule>
    <cfRule type="expression" dxfId="293" priority="126">
      <formula>$F$224=template_label_missing_value</formula>
    </cfRule>
  </conditionalFormatting>
  <conditionalFormatting sqref="F225">
    <cfRule type="expression" dxfId="292" priority="89">
      <formula>$F$225=template_label_missing_value</formula>
    </cfRule>
    <cfRule type="expression" dxfId="291" priority="90">
      <formula>$F$225=template_label_ok</formula>
    </cfRule>
  </conditionalFormatting>
  <conditionalFormatting sqref="F226">
    <cfRule type="expression" dxfId="290" priority="4">
      <formula>$F$226=template_label_value_inconsistency</formula>
    </cfRule>
    <cfRule type="expression" dxfId="289" priority="41">
      <formula>$F$226=template_label_error</formula>
    </cfRule>
    <cfRule type="expression" dxfId="288" priority="149">
      <formula>$F$226=template_label_missing_value</formula>
    </cfRule>
    <cfRule type="expression" dxfId="287" priority="148">
      <formula>$F$226=template_label_ok</formula>
    </cfRule>
  </conditionalFormatting>
  <conditionalFormatting sqref="F227:F325">
    <cfRule type="expression" dxfId="286" priority="38">
      <formula>$F227=template_label_missing_value</formula>
    </cfRule>
    <cfRule type="expression" dxfId="285" priority="3">
      <formula>$F227=template_label_value_inconsistency</formula>
    </cfRule>
    <cfRule type="expression" dxfId="284" priority="40">
      <formula>$F227=template_label_error</formula>
    </cfRule>
    <cfRule type="expression" dxfId="283" priority="39">
      <formula>$F227=template_label_ok</formula>
    </cfRule>
  </conditionalFormatting>
  <conditionalFormatting sqref="F326">
    <cfRule type="expression" dxfId="282" priority="135">
      <formula>$F$326=template_label_ok</formula>
    </cfRule>
    <cfRule type="expression" dxfId="281" priority="136">
      <formula>$F$326=template_label_missing_value</formula>
    </cfRule>
  </conditionalFormatting>
  <conditionalFormatting sqref="F327:F331">
    <cfRule type="expression" dxfId="280" priority="133">
      <formula>$F327=template_label_ok</formula>
    </cfRule>
    <cfRule type="expression" dxfId="279" priority="134">
      <formula>$F327=template_label_missing_value</formula>
    </cfRule>
  </conditionalFormatting>
  <conditionalFormatting sqref="F435">
    <cfRule type="expression" dxfId="278" priority="272">
      <formula>$F446="MISSING VALUE"</formula>
    </cfRule>
    <cfRule type="expression" dxfId="277" priority="273">
      <formula>$F446="OK"</formula>
    </cfRule>
  </conditionalFormatting>
  <conditionalFormatting sqref="G224">
    <cfRule type="expression" dxfId="276" priority="132">
      <formula>$G$224="Please specify the legal form in the row below"</formula>
    </cfRule>
  </conditionalFormatting>
  <conditionalFormatting sqref="H450:H549">
    <cfRule type="expression" dxfId="275" priority="13">
      <formula>$H$449=FALSE</formula>
    </cfRule>
  </conditionalFormatting>
  <conditionalFormatting sqref="H565:H567">
    <cfRule type="expression" dxfId="274" priority="15">
      <formula>$H565=template_label_ok</formula>
    </cfRule>
    <cfRule type="expression" dxfId="273" priority="14">
      <formula>$H565=template_label_missing_value</formula>
    </cfRule>
  </conditionalFormatting>
  <conditionalFormatting sqref="H571:H573 H577">
    <cfRule type="expression" dxfId="272" priority="101">
      <formula>$H571=template_label_missing_value</formula>
    </cfRule>
    <cfRule type="expression" dxfId="271" priority="100">
      <formula>$H571=template_label_ok</formula>
    </cfRule>
  </conditionalFormatting>
  <conditionalFormatting sqref="I441">
    <cfRule type="expression" dxfId="270" priority="43">
      <formula>$I$441=template_label_missing_value</formula>
    </cfRule>
    <cfRule type="expression" dxfId="269" priority="84">
      <formula>$I$441=template_label_ok</formula>
    </cfRule>
  </conditionalFormatting>
  <conditionalFormatting sqref="I450:I549">
    <cfRule type="expression" dxfId="268" priority="92">
      <formula>$I450=template_label_missing_value</formula>
    </cfRule>
    <cfRule type="expression" dxfId="267" priority="91">
      <formula>$I450=template_label_ok</formula>
    </cfRule>
  </conditionalFormatting>
  <conditionalFormatting sqref="I581">
    <cfRule type="expression" dxfId="266" priority="83">
      <formula>$I$581=template_label_ok</formula>
    </cfRule>
  </conditionalFormatting>
  <conditionalFormatting sqref="P556">
    <cfRule type="expression" dxfId="265" priority="23">
      <formula>$P$556=template_label_missing_value</formula>
    </cfRule>
    <cfRule type="expression" dxfId="264" priority="24">
      <formula>$P$556=template_label_ok</formula>
    </cfRule>
  </conditionalFormatting>
  <dataValidations xWindow="549" yWindow="696" count="20">
    <dataValidation type="list" allowBlank="1" showInputMessage="1" showErrorMessage="1" sqref="E122" xr:uid="{A2DCDFDB-ADC4-436B-BD6C-4E84E82AE073}">
      <formula1>"Option A (Basic Module only), Option B (Basic Module and Comprehensive Module)"</formula1>
    </dataValidation>
    <dataValidation type="list" allowBlank="1" showInputMessage="1" showErrorMessage="1" sqref="E223" xr:uid="{4F13A5F9-E736-4E05-A233-B9B112EBE6A1}">
      <formula1>"Sustainability report prepared on an individual basis, Sustainability report prepared on a consolidated basis"</formula1>
    </dataValidation>
    <dataValidation type="list" allowBlank="1" showInputMessage="1" showErrorMessage="1" sqref="E330" xr:uid="{1DA6DC5E-36CE-4C4E-942D-7DCF7644718A}">
      <formula1>"Headcount, Full-time equivalent (FTE)"</formula1>
    </dataValidation>
    <dataValidation type="list" allowBlank="1" showInputMessage="1" showErrorMessage="1" sqref="G450:G549" xr:uid="{BE8F6A12-5C78-4D48-9F63-01FCA7AABD87}">
      <formula1>enum_ListCountriesName</formula1>
    </dataValidation>
    <dataValidation type="list" allowBlank="1" showInputMessage="1" showErrorMessage="1" sqref="E19:E118 E124:E222" xr:uid="{544D34CA-1630-49D5-B390-0FD7794F8530}">
      <formula1>enum_ListOmittedDisclosures</formula1>
    </dataValidation>
    <dataValidation type="date" operator="equal" allowBlank="1" showInputMessage="1" showErrorMessage="1" promptTitle="Warning" prompt="The date should be inserted in the following format: dd/mm/yyyy_x000a_Please be sure to use the &quot;/&quot; and not the &quot;.&quot;" sqref="E122" xr:uid="{4104C250-8FE3-463A-B01E-113FF4011C28}">
      <formula1>E122</formula1>
    </dataValidation>
    <dataValidation type="decimal" operator="equal" allowBlank="1" showInputMessage="1" showErrorMessage="1" sqref="D561 E326:E328" xr:uid="{546D8560-FA10-4E3C-8848-2A7A25B13150}">
      <formula1>D326</formula1>
    </dataValidation>
    <dataValidation type="custom" showInputMessage="1" showErrorMessage="1" sqref="E576 I563:O569 E440 I440 C568:H569 C563:H563 C556:O557 E18 H449" xr:uid="{9BD8F46B-C9AA-4C89-814F-A6D87FB15620}">
      <formula1>OR(C18=TRUE,C18=FALSE)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450"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329" xr:uid="{144F4C96-EADD-4F0D-816D-09334348F775}">
      <formula1>enum_employee_methodology</formula1>
    </dataValidation>
    <dataValidation type="list" allowBlank="1" showInputMessage="1" showErrorMessage="1" sqref="E123" xr:uid="{AC769C83-4CF3-4F4D-8304-CCD442331E8E}">
      <formula1>enum_ListOmittedDisclosuresWithNone</formula1>
    </dataValidation>
    <dataValidation type="custom" showInputMessage="1" showErrorMessage="1" sqref="K450:K549" xr:uid="{87B45667-2565-4DEE-8FB7-7B0AF6539C1C}">
      <formula1>LOWER(SUBSTITUTE(D450," ","+" )) &amp; "+" &amp; LOWER(SUBSTITUTE(E450," ","+" )) &amp; "+" &amp; LOWER(SUBSTITUTE(F450," ","+" )) &amp; "+" &amp; LOWER(SUBSTITUTE(G450,"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226:E325" xr:uid="{EDCACB96-AA7D-42B4-A79D-8DE45409D62B}">
      <formula1>enum_ListNACETechnicalName</formula1>
    </dataValidation>
  </dataValidations>
  <hyperlinks>
    <hyperlink ref="B224" r:id="rId1" location="id-160" display="https://xbrl.efrag.org/e-esrs/2024-12-17-efrag-vsme.xhtml - id-160" xr:uid="{6E35ED44-D9B7-4052-8FB7-A15755AA2F9A}"/>
    <hyperlink ref="B226" r:id="rId2" location="id-166" display="69 - 70" xr:uid="{FA270BAD-2BBA-4F19-A5BF-CB6660F0026F}"/>
    <hyperlink ref="B328" r:id="rId3" xr:uid="{D4D508FB-87F9-401E-995D-187EDEBAA1BE}"/>
    <hyperlink ref="A122" r:id="rId4" xr:uid="{C2B9CAC6-77B0-4EAC-8669-72761233B94E}"/>
    <hyperlink ref="A123" r:id="rId5" xr:uid="{550B4979-0FEB-4358-9C47-F633B3AD029B}"/>
    <hyperlink ref="A223" r:id="rId6" xr:uid="{F8EF2A00-D01F-454A-B219-4512593E4195}"/>
    <hyperlink ref="A226" r:id="rId7" location="id-55" xr:uid="{34C299B3-3BF1-4370-BBCB-6C0B88190DAA}"/>
    <hyperlink ref="A327" r:id="rId8" xr:uid="{720E8189-B604-4A6E-B087-2B36F1DBDA4C}"/>
    <hyperlink ref="A328" r:id="rId9" xr:uid="{D8858E63-1190-459F-86C5-E2BF02C1FB92}"/>
    <hyperlink ref="A331" r:id="rId10" xr:uid="{91A049C2-07F3-45F0-A7D7-EE0EA55C5BC7}"/>
    <hyperlink ref="C438" r:id="rId11" location="id-61" display="https://xbrl.efrag.org/e-esrs/2024-12-17-efrag-vsme.xhtml - id-61" xr:uid="{DFAA86FF-296C-45FD-AFBE-90C8E90045EB}"/>
    <hyperlink ref="C445" r:id="rId12" location="id-170" display="73 -77" xr:uid="{8ABC957E-1EBE-4A8D-863F-E7583DD2AC76}"/>
    <hyperlink ref="C17" r:id="rId13" location="id-36" display="https://xbrl.efrag.org/e-esrs/2024-12-17-efrag-vsme.xhtml - id-36" xr:uid="{19CB59E3-AADC-498C-AF52-20D4994CF242}"/>
    <hyperlink ref="C439" r:id="rId14" location="id-174" display="https://xbrl.efrag.org/e-esrs/2024-12-17-efrag-vsme.xhtml - id-174" xr:uid="{C5A15A7C-043F-4781-AFDF-10B6996439A7}"/>
    <hyperlink ref="C580" r:id="rId15" location="id-30" display="https://xbrl.efrag.org/e-esrs/2024-12-17-efrag-vsme.xhtml - id-30" xr:uid="{76D42933-A7B6-4201-BBAA-C4F0D44A8C21}"/>
    <hyperlink ref="A577" r:id="rId16" xr:uid="{E97D4368-4682-47AC-B32E-7B38F4BB397A}"/>
    <hyperlink ref="C444" r:id="rId17" location="id-60" xr:uid="{A4AF9C3B-B0B9-4070-AABC-C04C5FA2EE60}"/>
    <hyperlink ref="B573" r:id="rId18" display="https://xbrl.efrag.org/eng/interactive/vsme/vsme-guidance-annex-ii/2025-07-30-ec-rec/148" xr:uid="{5CB57F72-A4D3-4052-85C2-F2ACBE8A0625}"/>
    <hyperlink ref="A573" r:id="rId19" xr:uid="{BC12DD63-6EEA-4437-B6AB-A88936D421E8}"/>
    <hyperlink ref="A571" r:id="rId20" xr:uid="{20731D9F-75F2-48D9-BBE1-5734A2AEF5B8}"/>
    <hyperlink ref="C334:E334" r:id="rId21" display="24(d)" xr:uid="{FE76555F-2718-48D9-B35B-738DCDA0476C}"/>
    <hyperlink ref="A326" r:id="rId22" xr:uid="{785C6C18-5546-41D1-A9CA-4896BC8E24DF}"/>
    <hyperlink ref="A572" r:id="rId23" xr:uid="{671D2E36-4142-4CDA-8EBC-2663BBA303BE}"/>
    <hyperlink ref="C552" r:id="rId24" location="id-62" display="Paragraph 26" xr:uid="{1422AC39-BA25-4CD7-940C-725F3655BB72}"/>
    <hyperlink ref="C553" r:id="rId25" location="id-175" display="78-80" xr:uid="{29217F16-5FD6-42B1-908F-0D6E08E76BBB}"/>
    <hyperlink ref="A565:B565" r:id="rId26" location="id-110" display="https://xbrl.efrag.org/e-esrs/2024-12-17-efrag-vsme.xhtml - id-110" xr:uid="{4CDC38AF-269F-44A9-8E58-C12060FF2342}"/>
    <hyperlink ref="A567" r:id="rId27" display="https://xbrl.efrag.org/eng/interactive/vsme/vsme-standard-annex-i/2025-07-30-ec-rec/49" xr:uid="{D30D55EA-0736-4AA0-9B56-68C3D904FFDE}"/>
    <hyperlink ref="C559:D559" r:id="rId28" display="https://xbrl.efrag.org/eng/interactive/vsme/vsme-guidance-annex-ii/2025-07-30-ec-rec/15" xr:uid="{57C93BA6-29CE-468C-8E78-67130131E33C}"/>
    <hyperlink ref="A224" r:id="rId29" location="id-54" xr:uid="{4D61DA22-7170-4B6E-B717-DB0522673FDD}"/>
    <hyperlink ref="A224:A225" r:id="rId30" display="24(e)(i)" xr:uid="{72955AD9-15B0-4E93-A887-B2AE5AE34125}"/>
    <hyperlink ref="A226:A325" r:id="rId31" display="24(e)(ii)" xr:uid="{63CDEE42-35EF-4F82-9479-44131CA090AD}"/>
    <hyperlink ref="C438:H438" r:id="rId32" display="https://xbrl.efrag.org/eng/interactive/vsme/vsme-standard-annex-i/2025-07-30-ec-rec/25" xr:uid="{8EB8478F-6CBB-42E3-B5BB-21A4D0415C38}"/>
    <hyperlink ref="C444:H444" r:id="rId33" display="24(e)(vii)" xr:uid="{C6042EE5-CA3B-4737-B838-E6FF23A0BB7E}"/>
    <hyperlink ref="C552:O552" r:id="rId34" display="26-28" xr:uid="{21BF77BD-962D-4692-8F8C-8E643BF2A2FA}"/>
    <hyperlink ref="A565" r:id="rId35" display="https://xbrl.efrag.org/eng/interactive/vsme/vsme-standard-annex-i/2025-07-30-ec-rec/48" xr:uid="{E8705486-83DC-4F35-98E0-56DDE20F2EBF}"/>
    <hyperlink ref="C17:E17" r:id="rId36" display="https://xbrl.efrag.org/eng/interactive/vsme/vsme-standard-annex-i/2025-07-30-ec-rec/16" xr:uid="{3E9A84F0-7FE8-4AD8-84A8-8BBABEC967C0}"/>
    <hyperlink ref="B224:B225" r:id="rId37" display="https://xbrl.efrag.org/eng/interactive/vsme/vsme-guidance-annex-ii/2025-07-30-ec-rec/4" xr:uid="{821F1107-DFCF-4075-8811-6950EDDD41AC}"/>
    <hyperlink ref="B226:B325" r:id="rId38" display="5-6" xr:uid="{820D3D54-AE35-4C9F-9F05-D9C65601D449}"/>
    <hyperlink ref="C439:H439" r:id="rId39" display="https://xbrl.efrag.org/eng/interactive/vsme/vsme-guidance-annex-ii/2025-07-30-ec-rec/13" xr:uid="{34CC0771-7A7A-4256-8604-3C6AC612CB8F}"/>
    <hyperlink ref="C445:H445" r:id="rId40" display=" 9-12" xr:uid="{8CFBD353-B0BE-4B92-B429-4A0F2EEADF94}"/>
    <hyperlink ref="C553:O553" r:id="rId41" display="14-16" xr:uid="{CF2D0EF1-31E3-4957-95F3-15807A0951DF}"/>
    <hyperlink ref="B565" r:id="rId42" display="https://xbrl.efrag.org/eng/interactive/vsme/vsme-guidance-annex-ii/2025-07-30-ec-rec/149" xr:uid="{3F21BED7-A3D8-4283-A715-0AF86BBD95CA}"/>
    <hyperlink ref="C580:H580" r:id="rId43" display="https://xbrl.efrag.org/eng/interactive/vsme/vsme-standard-annex-i/2025-07-30-ec-rec/10" xr:uid="{819CBA6C-8654-4D09-AB1C-01A45B1548B4}"/>
    <hyperlink ref="A329" r:id="rId44" xr:uid="{1CA670AC-AE61-4EBA-A48F-DD1755DDE711}"/>
    <hyperlink ref="A330" r:id="rId45" xr:uid="{38AD638B-9309-43D3-9974-DDAD89DD3A81}"/>
    <hyperlink ref="B566" r:id="rId46" location="id-110" display="https://xbrl.efrag.org/e-esrs/2024-12-17-efrag-vsme.xhtml - id-110" xr:uid="{768AD984-0FDA-4B83-81D3-76F2D106DD02}"/>
    <hyperlink ref="B567" r:id="rId47" location="id-110" display="https://xbrl.efrag.org/e-esrs/2024-12-17-efrag-vsme.xhtml - id-110" xr:uid="{35D0CFFA-65BC-428F-A344-02A0AEC99B37}"/>
    <hyperlink ref="B329" r:id="rId48" xr:uid="{574F6B8E-0C3C-4751-88CB-1E069AEA907A}"/>
    <hyperlink ref="B330" r:id="rId49" xr:uid="{9B3A4583-A796-4E9D-B618-7D963786DEA3}"/>
    <hyperlink ref="B331" r:id="rId50" xr:uid="{6B6EB5AC-63E2-4174-8796-708D6B7A70BA}"/>
  </hyperlinks>
  <pageMargins left="0.7" right="0.7" top="0.75" bottom="0.75" header="0.3" footer="0.3"/>
  <pageSetup paperSize="9" orientation="portrait" horizontalDpi="4294967293" verticalDpi="4294967293" r:id="rId51"/>
  <drawing r:id="rId52"/>
  <extLst>
    <ext xmlns:x14="http://schemas.microsoft.com/office/spreadsheetml/2009/9/main" uri="{CCE6A557-97BC-4b89-ADB6-D9C93CAAB3DF}">
      <x14:dataValidations xmlns:xm="http://schemas.microsoft.com/office/excel/2006/main" xWindow="549" yWindow="696" count="2">
        <x14:dataValidation type="list" allowBlank="1" showInputMessage="1" showErrorMessage="1" xr:uid="{0AF44263-3F7A-40FE-9400-EEC7E8C4DF4E}">
          <x14:formula1>
            <xm:f>'Enumeration Lists'!$E$2:$E$257</xm:f>
          </x14:formula1>
          <xm:sqref>E331</xm:sqref>
        </x14:dataValidation>
        <x14:dataValidation type="list" allowBlank="1" showInputMessage="1" showErrorMessage="1" xr:uid="{386E27C7-13F7-4F0C-8DF1-6A82CC469E13}">
          <x14:formula1>
            <xm:f>'Enumeration Lists'!$L$2:$L$6</xm:f>
          </x14:formula1>
          <xm:sqref>E224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548"/>
  <sheetViews>
    <sheetView showGridLines="0" zoomScaleNormal="100" workbookViewId="0"/>
  </sheetViews>
  <sheetFormatPr defaultColWidth="8.88671875" defaultRowHeight="14.4" outlineLevelRow="2" x14ac:dyDescent="0.3"/>
  <cols>
    <col min="1" max="2" width="10" bestFit="1" customWidth="1"/>
    <col min="3" max="3" width="78.109375" customWidth="1"/>
    <col min="4" max="4" width="17.33203125" customWidth="1"/>
    <col min="5" max="5" width="19.6640625" customWidth="1"/>
    <col min="6" max="6" width="22.6640625" customWidth="1"/>
    <col min="7" max="7" width="15.6640625" customWidth="1"/>
    <col min="8" max="8" width="5.33203125" customWidth="1"/>
    <col min="9" max="9" width="13.6640625" customWidth="1"/>
    <col min="10" max="10" width="26.5546875" customWidth="1"/>
    <col min="11" max="11" width="24.6640625" customWidth="1"/>
    <col min="12" max="12" width="27.33203125" customWidth="1"/>
    <col min="13" max="13" width="30.33203125" customWidth="1"/>
    <col min="14" max="14" width="29.6640625" customWidth="1"/>
  </cols>
  <sheetData>
    <row r="1" spans="1:13" ht="43.8" thickBot="1" x14ac:dyDescent="0.35">
      <c r="A1" s="257" t="str">
        <f>template_label_paragraph_reference</f>
        <v>Paragraph Reference</v>
      </c>
      <c r="B1" s="257" t="str">
        <f>template_label_paragraph_guidance_reference</f>
        <v>Paragraph Guidance Reference</v>
      </c>
    </row>
    <row r="2" spans="1:13" x14ac:dyDescent="0.3">
      <c r="C2" s="662" t="str">
        <f>template_label_b3_total_energy_consumption&amp;" "&amp;template_label_from&amp;" "&amp;template_starting_date_display&amp;" "&amp;template_label_to&amp;" "&amp;template_ending_date_display&amp;" "&amp;template_label_always_to_be_reported</f>
        <v>B3 - Total Energy Consumption (in MWh) from 2024-01-01 to 2024-12-31 [Always to be reported]</v>
      </c>
      <c r="D2" s="663"/>
      <c r="E2" s="663"/>
      <c r="F2" s="663"/>
      <c r="G2" s="663"/>
      <c r="H2" s="663"/>
      <c r="I2" s="663"/>
      <c r="J2" s="663"/>
      <c r="K2" s="664"/>
    </row>
    <row r="3" spans="1:13" x14ac:dyDescent="0.3">
      <c r="C3" s="553">
        <v>29</v>
      </c>
      <c r="D3" s="554"/>
      <c r="E3" s="554"/>
      <c r="F3" s="554"/>
      <c r="G3" s="554"/>
      <c r="H3" s="554"/>
      <c r="I3" s="554"/>
      <c r="J3" s="554"/>
      <c r="K3" s="555"/>
    </row>
    <row r="4" spans="1:13" x14ac:dyDescent="0.3">
      <c r="C4" s="769" t="s">
        <v>5643</v>
      </c>
      <c r="D4" s="770"/>
      <c r="E4" s="770"/>
      <c r="F4" s="770"/>
      <c r="G4" s="770"/>
      <c r="H4" s="770"/>
      <c r="I4" s="770"/>
      <c r="J4" s="770"/>
      <c r="K4" s="771"/>
    </row>
    <row r="5" spans="1:13" ht="15" thickBot="1" x14ac:dyDescent="0.35">
      <c r="C5" s="788" t="str">
        <f>template_label_total_energy_consumption</f>
        <v>Total Energy Consumption</v>
      </c>
      <c r="D5" s="789"/>
      <c r="E5" s="789"/>
      <c r="F5" s="790"/>
      <c r="G5" s="805">
        <v>250</v>
      </c>
      <c r="H5" s="806"/>
      <c r="I5" s="806"/>
      <c r="J5" s="806"/>
      <c r="K5" s="807"/>
      <c r="L5" s="16" t="str">
        <f>IF(AND(OR('General Information'!E122="Option A (Basic Module only)", 'General Information'!E122="Option B (Basic Module and Comprehensive Module)"), G5=""), template_label_missing_value, IF('General Information'!E122="", "", template_label_ok))</f>
        <v>OK</v>
      </c>
    </row>
    <row r="6" spans="1:13" ht="15" thickBot="1" x14ac:dyDescent="0.35"/>
    <row r="7" spans="1:13" x14ac:dyDescent="0.3">
      <c r="C7" s="662" t="str">
        <f>template_label_b3_breakdown_of_energy_consumption&amp;" "&amp;template_label_from&amp;" "&amp;template_starting_date_display&amp;" "&amp;template_label_to&amp;" "&amp;template_ending_date_display&amp;" "&amp;template_label_if_applicable</f>
        <v>B3 - Breakdown of energy consumption (in MWh) from 2024-01-01 to 2024-12-31 [If applicable]</v>
      </c>
      <c r="D7" s="663"/>
      <c r="E7" s="663"/>
      <c r="F7" s="663"/>
      <c r="G7" s="663"/>
      <c r="H7" s="663"/>
      <c r="I7" s="663"/>
      <c r="J7" s="663"/>
      <c r="K7" s="664"/>
    </row>
    <row r="8" spans="1:13" x14ac:dyDescent="0.3">
      <c r="C8" s="553">
        <v>29</v>
      </c>
      <c r="D8" s="554"/>
      <c r="E8" s="554"/>
      <c r="F8" s="554"/>
      <c r="G8" s="554"/>
      <c r="H8" s="554"/>
      <c r="I8" s="554"/>
      <c r="J8" s="554"/>
      <c r="K8" s="555"/>
    </row>
    <row r="9" spans="1:13" x14ac:dyDescent="0.3">
      <c r="C9" s="769" t="s">
        <v>5643</v>
      </c>
      <c r="D9" s="770"/>
      <c r="E9" s="770"/>
      <c r="F9" s="770"/>
      <c r="G9" s="770"/>
      <c r="H9" s="770"/>
      <c r="I9" s="770"/>
      <c r="J9" s="770"/>
      <c r="K9" s="771"/>
    </row>
    <row r="10" spans="1:13" x14ac:dyDescent="0.3">
      <c r="C10" s="752" t="str">
        <f>template_label_has_the_undertaking_obtained_the_necessary_information_to_provide_an_energy_consumption_breakdown</f>
        <v>Has the undertaking obtained the necessary information to provide an energy consumption breakdown?</v>
      </c>
      <c r="D10" s="753"/>
      <c r="E10" s="753"/>
      <c r="F10" s="753"/>
      <c r="G10" s="691" t="b">
        <v>1</v>
      </c>
      <c r="H10" s="691"/>
      <c r="I10" s="691"/>
      <c r="J10" s="691"/>
      <c r="K10" s="692"/>
    </row>
    <row r="11" spans="1:13" ht="38.700000000000003" customHeight="1" x14ac:dyDescent="0.3">
      <c r="C11" s="821"/>
      <c r="D11" s="822"/>
      <c r="E11" s="822"/>
      <c r="F11" s="822"/>
      <c r="G11" s="803" t="str">
        <f>template_label_renewable</f>
        <v>Renewable</v>
      </c>
      <c r="H11" s="804"/>
      <c r="I11" s="804"/>
      <c r="J11" s="102" t="str">
        <f>template_label_non_renewable</f>
        <v>Non-renewable</v>
      </c>
      <c r="K11" s="103" t="str">
        <f>template_label_total_renewable_and_nonrenewable</f>
        <v>Total renewable and non-renewable</v>
      </c>
      <c r="L11" s="16"/>
    </row>
    <row r="12" spans="1:13" x14ac:dyDescent="0.3">
      <c r="C12" s="791" t="str">
        <f>template_label_electricity</f>
        <v>Electricity (as reflected in utility billings)</v>
      </c>
      <c r="D12" s="792"/>
      <c r="E12" s="792"/>
      <c r="F12" s="793"/>
      <c r="G12" s="797">
        <v>10</v>
      </c>
      <c r="H12" s="798"/>
      <c r="I12" s="799"/>
      <c r="J12" s="260">
        <v>100</v>
      </c>
      <c r="K12" s="297">
        <f>IF(AND(G12="",J12=""),"-",SUM(G12:J12))</f>
        <v>110</v>
      </c>
      <c r="L12" s="720" t="str" cm="1">
        <f t="array" ref="L12">IF(G10=TRUE,
    IF(SUMPRODUCT(--(G12:J14&lt;&gt;"-"), --(G12:J14&lt;&gt;""))&gt;0,
        IF(SUM(G12:J14) &gt; TotalEnergyConsumption, template_label_value_inconsistency, template_label_ok),
        template_label_missing_value),
"")</f>
        <v>OK</v>
      </c>
    </row>
    <row r="13" spans="1:13" x14ac:dyDescent="0.3">
      <c r="C13" s="794" t="str">
        <f>template_label_selfgenerated_electricity</f>
        <v>Self-generated electricity</v>
      </c>
      <c r="D13" s="795"/>
      <c r="E13" s="795"/>
      <c r="F13" s="796"/>
      <c r="G13" s="797">
        <v>23</v>
      </c>
      <c r="H13" s="798"/>
      <c r="I13" s="799"/>
      <c r="J13" s="260">
        <v>20</v>
      </c>
      <c r="K13" s="297">
        <f>IF(AND(G13="",J13=""),"-",SUM(G13:J13))</f>
        <v>43</v>
      </c>
      <c r="L13" s="720"/>
    </row>
    <row r="14" spans="1:13" ht="15" thickBot="1" x14ac:dyDescent="0.35">
      <c r="C14" s="823" t="str">
        <f>template_label_fuels</f>
        <v>Fuels (see Fuel Converter on Fuels worksheet)</v>
      </c>
      <c r="D14" s="824"/>
      <c r="E14" s="824"/>
      <c r="F14" s="825"/>
      <c r="G14" s="800" t="str">
        <f>IF('Fuel Converter'!D23=TRUE, 'Fuel Converter'!A32, "-")</f>
        <v>-</v>
      </c>
      <c r="H14" s="801"/>
      <c r="I14" s="802"/>
      <c r="J14" s="261" t="str">
        <f>IF('Fuel Converter'!D23=TRUE, 'Fuel Converter'!B32, "-")</f>
        <v>-</v>
      </c>
      <c r="K14" s="298" t="str">
        <f>IF(AND(G14="-",J14="-"),"-",SUM(G14:J14))</f>
        <v>-</v>
      </c>
      <c r="L14" s="720"/>
      <c r="M14" t="str">
        <f>template_label_energy_consumption_warning</f>
        <v xml:space="preserve">ℹ️  Please note that the formula present in this cell may be overwritten in case the undertaking wants to directly provide the value. </v>
      </c>
    </row>
    <row r="15" spans="1:13" ht="15" thickBot="1" x14ac:dyDescent="0.35"/>
    <row r="16" spans="1:13" ht="28.5" customHeight="1" x14ac:dyDescent="0.3">
      <c r="C16" s="779" t="str">
        <f>template_label_b3_estimated_greenhouse_gas_emissions&amp; " "&amp;template_label_always_to_be_reported</f>
        <v>B3 - Estimated Greenhouse Gas Emissions considering the GHG Protocol Version 2004 (in tCO2e) [Always to be reported]</v>
      </c>
      <c r="D16" s="780"/>
      <c r="E16" s="780"/>
      <c r="F16" s="781"/>
      <c r="G16" s="785" t="str">
        <f>template_label_c3_ghg_reduction_targets&amp;" "&amp;template_label_if_applicable</f>
        <v>C3 - GHG reduction targets (in tC02e) [If applicable]</v>
      </c>
      <c r="H16" s="786"/>
      <c r="I16" s="786"/>
      <c r="J16" s="786"/>
      <c r="K16" s="787"/>
    </row>
    <row r="17" spans="1:21" x14ac:dyDescent="0.3">
      <c r="C17" s="782">
        <v>30</v>
      </c>
      <c r="D17" s="783"/>
      <c r="E17" s="783"/>
      <c r="F17" s="784"/>
      <c r="G17" s="782" t="s">
        <v>3744</v>
      </c>
      <c r="H17" s="783"/>
      <c r="I17" s="783"/>
      <c r="J17" s="447" t="s">
        <v>3745</v>
      </c>
      <c r="K17" s="448" t="s">
        <v>3746</v>
      </c>
    </row>
    <row r="18" spans="1:21" ht="15" thickBot="1" x14ac:dyDescent="0.35">
      <c r="C18" s="252" t="s">
        <v>1</v>
      </c>
      <c r="D18" s="597" t="s">
        <v>5644</v>
      </c>
      <c r="E18" s="597"/>
      <c r="F18" s="724"/>
      <c r="G18" s="713" t="s">
        <v>5645</v>
      </c>
      <c r="H18" s="714"/>
      <c r="I18" s="714"/>
      <c r="J18" s="441" t="s">
        <v>5645</v>
      </c>
      <c r="K18" s="450" t="s">
        <v>5645</v>
      </c>
    </row>
    <row r="19" spans="1:21" ht="30" customHeight="1" x14ac:dyDescent="0.3">
      <c r="C19" s="826"/>
      <c r="D19" s="827"/>
      <c r="E19" s="827"/>
      <c r="F19" s="828"/>
      <c r="G19" s="751" t="str">
        <f>template_label_has_the_undertaking_has_established_ghg_emission_reduction_targets</f>
        <v>Has  the undertaking has established GHG emission reduction targets?</v>
      </c>
      <c r="H19" s="751"/>
      <c r="I19" s="751"/>
      <c r="J19" s="174" t="b">
        <v>1</v>
      </c>
      <c r="K19" s="105"/>
    </row>
    <row r="20" spans="1:21" ht="28.8" x14ac:dyDescent="0.3">
      <c r="C20" s="106"/>
      <c r="D20" s="809" t="str">
        <f>template_label_current_reporting_period</f>
        <v>Current Reporting Period</v>
      </c>
      <c r="E20" s="809"/>
      <c r="F20" s="832"/>
      <c r="G20" s="808" t="str">
        <f>template_label_base_year</f>
        <v>Base Year</v>
      </c>
      <c r="H20" s="809"/>
      <c r="I20" s="809"/>
      <c r="J20" s="6" t="str">
        <f>template_label_target_year</f>
        <v>Target Year</v>
      </c>
      <c r="K20" s="53" t="str">
        <f>template_label_percentage_reduction_from_base_year</f>
        <v>Percentage reduction from base year</v>
      </c>
    </row>
    <row r="21" spans="1:21" x14ac:dyDescent="0.3">
      <c r="A21" s="717" t="str">
        <f>template_label_GHG_calculator</f>
        <v>ℹ️ Check EFRAG website for a non-exhaustive list of GHG calculators.</v>
      </c>
      <c r="B21" s="718"/>
      <c r="C21" s="55" t="str">
        <f>template_label_year_date</f>
        <v>Year (date)</v>
      </c>
      <c r="D21" s="833" t="str">
        <f>IF('General Information'!$D$9="", "-", 'General Information'!$D$9) &amp; "  -  " &amp; IF('General Information'!$D$13="", "-", 'General Information'!$D$13)</f>
        <v>2024-01-01  -  2024-12-31</v>
      </c>
      <c r="E21" s="833"/>
      <c r="F21" s="834"/>
      <c r="G21" s="810">
        <v>2020</v>
      </c>
      <c r="H21" s="811"/>
      <c r="I21" s="811"/>
      <c r="J21" s="144">
        <v>2030</v>
      </c>
      <c r="K21" s="108"/>
      <c r="L21" s="16" t="str">
        <f>IF(AND(J19=TRUE, G21&lt;&gt;"", J21&lt;&gt;""), template_label_ok,
IF(AND(J19=TRUE, G21="", J21=""), template_label_missing_value,
IF(AND(J19=FALSE, G21="", J21=""), "",
IF(AND(J19=TRUE, OR(G21="", J21="")), template_label_missing_value, ""))))</f>
        <v>OK</v>
      </c>
    </row>
    <row r="22" spans="1:21" x14ac:dyDescent="0.3">
      <c r="A22" s="717"/>
      <c r="B22" s="718"/>
      <c r="C22" s="4" t="str">
        <f>template_label_gross_scope_1_ghg_emissions</f>
        <v>Gross Scope 1 GHG Emissions</v>
      </c>
      <c r="D22" s="743">
        <v>100</v>
      </c>
      <c r="E22" s="743"/>
      <c r="F22" s="744"/>
      <c r="G22" s="799">
        <v>150</v>
      </c>
      <c r="H22" s="812"/>
      <c r="I22" s="812"/>
      <c r="J22" s="260">
        <v>75</v>
      </c>
      <c r="K22" s="109">
        <f>IF(AND(G22="", J22=""), "-", IFERROR(-(1 - (J22 / G22)), "-"))</f>
        <v>-0.5</v>
      </c>
      <c r="L22" s="16" t="str">
        <f>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f>
        <v>OK</v>
      </c>
    </row>
    <row r="23" spans="1:21" x14ac:dyDescent="0.3">
      <c r="A23" s="717"/>
      <c r="B23" s="718"/>
      <c r="C23" s="4" t="str">
        <f>template_label_gross_scope_2_location_based_ghg_emissions</f>
        <v>Gross Scope 2 location-based GHG Emissions</v>
      </c>
      <c r="D23" s="766">
        <v>50</v>
      </c>
      <c r="E23" s="767"/>
      <c r="F23" s="768"/>
      <c r="G23" s="799">
        <v>75</v>
      </c>
      <c r="H23" s="812"/>
      <c r="I23" s="812"/>
      <c r="J23" s="260">
        <v>15</v>
      </c>
      <c r="K23" s="109">
        <f t="shared" ref="K23:K26" si="0">IF(AND(G23="", J23=""), "-", IFERROR(-(1 - (J23 / G23)), "-"))</f>
        <v>-0.8</v>
      </c>
      <c r="L23" s="16" t="str">
        <f>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f>
        <v>OK</v>
      </c>
    </row>
    <row r="24" spans="1:21" x14ac:dyDescent="0.3">
      <c r="A24" s="717"/>
      <c r="B24" s="718"/>
      <c r="C24" s="4" t="str">
        <f>template_label_gross_scope_2_market_based_ghg_emissions &amp; " - " &amp; template_label_may_not_headline</f>
        <v>Gross scope 2 market-based GHG Emissions - May (optional)</v>
      </c>
      <c r="D24" s="743"/>
      <c r="E24" s="743"/>
      <c r="F24" s="744"/>
      <c r="G24" s="799"/>
      <c r="H24" s="812"/>
      <c r="I24" s="812"/>
      <c r="J24" s="260"/>
      <c r="K24" s="109" t="str">
        <f t="shared" si="0"/>
        <v>-</v>
      </c>
      <c r="L24" s="16" t="str">
        <f>IF(D24&lt;&gt;"",
    IF(AND(G24="", J24=""), template_label_ok,
       IF(AND(G24&lt;&gt;"", J24=""), template_label_missing_value, template_label_ok)
    ),
"")</f>
        <v/>
      </c>
    </row>
    <row r="25" spans="1:21" x14ac:dyDescent="0.3">
      <c r="A25" s="717"/>
      <c r="B25" s="718"/>
      <c r="C25" s="13" t="str">
        <f>template_label_total_scope_1_and_scope_2_ghg_emissions_location_based</f>
        <v>Total Scope 1 and Scope 2 GHG Emissions (location-based)</v>
      </c>
      <c r="D25" s="746">
        <f>IF(AND(D22="",D23=""),"-",SUM(D22,D23))</f>
        <v>150</v>
      </c>
      <c r="E25" s="746"/>
      <c r="F25" s="747"/>
      <c r="G25" s="909">
        <f>IF(AND(G22="",G23=""),"-",SUM(G22,G23))</f>
        <v>225</v>
      </c>
      <c r="H25" s="746"/>
      <c r="I25" s="746"/>
      <c r="J25" s="263">
        <f>IF(AND(J22="",J23=""),"-",SUM(J22,J23))</f>
        <v>90</v>
      </c>
      <c r="K25" s="109">
        <f t="shared" si="0"/>
        <v>-0.6</v>
      </c>
    </row>
    <row r="26" spans="1:21" ht="15" thickBot="1" x14ac:dyDescent="0.35">
      <c r="A26" s="717"/>
      <c r="B26" s="718"/>
      <c r="C26" s="5" t="str">
        <f>template_label_total_scope_1_and_scope_2_ghg_emissions_market_based &amp; " - " &amp; template_label_may_not_headline</f>
        <v>Total Scope 1 and Scope 2 GHG emissions  (market-based) - May (optional)</v>
      </c>
      <c r="D26" s="748" t="str">
        <f>IF(OR(D22="",D24=""),"-",SUM(D22,D24))</f>
        <v>-</v>
      </c>
      <c r="E26" s="749"/>
      <c r="F26" s="750"/>
      <c r="G26" s="749" t="str">
        <f>IF(OR(G22="",G24=""),"-",SUM(G22,G24))</f>
        <v>-</v>
      </c>
      <c r="H26" s="749"/>
      <c r="I26" s="868"/>
      <c r="J26" s="264" t="str">
        <f>IF(OR(J22="",J24=""),"-",SUM(J22,J24))</f>
        <v>-</v>
      </c>
      <c r="K26" s="109" t="str">
        <f t="shared" si="0"/>
        <v>-</v>
      </c>
    </row>
    <row r="27" spans="1:21" x14ac:dyDescent="0.3">
      <c r="C27" s="885" t="s">
        <v>3747</v>
      </c>
      <c r="D27" s="813"/>
      <c r="E27" s="813"/>
      <c r="F27" s="813"/>
      <c r="G27" s="813">
        <v>54</v>
      </c>
      <c r="H27" s="813"/>
      <c r="I27" s="813"/>
      <c r="J27" s="813"/>
      <c r="K27" s="110"/>
    </row>
    <row r="28" spans="1:21" ht="15" thickBot="1" x14ac:dyDescent="0.35">
      <c r="C28" s="252" t="s">
        <v>1</v>
      </c>
      <c r="D28" s="597" t="s">
        <v>5646</v>
      </c>
      <c r="E28" s="597"/>
      <c r="F28" s="597"/>
      <c r="G28" s="817" t="s">
        <v>1</v>
      </c>
      <c r="H28" s="817"/>
      <c r="I28" s="817"/>
      <c r="J28" s="253" t="s">
        <v>1</v>
      </c>
      <c r="K28" s="111"/>
    </row>
    <row r="29" spans="1:21" ht="22.2" customHeight="1" x14ac:dyDescent="0.3">
      <c r="C29" s="829" t="str">
        <f>template_label_is_the_undertaking_disclosing_entity_specific_information_on_scope_3_emissions</f>
        <v>Is the undertaking disclosing entity-specific information on Scope 3 emissions (in tCO2e)?</v>
      </c>
      <c r="D29" s="830"/>
      <c r="E29" s="830"/>
      <c r="F29" s="831"/>
      <c r="G29" s="814" t="b">
        <v>1</v>
      </c>
      <c r="H29" s="815"/>
      <c r="I29" s="815"/>
      <c r="J29" s="815"/>
      <c r="K29" s="816"/>
    </row>
    <row r="30" spans="1:21" ht="14.55" customHeight="1" x14ac:dyDescent="0.3">
      <c r="C30" s="101" t="str">
        <f>template_label_1_purchased_goods_and_services</f>
        <v>1. Purchased Goods and Services</v>
      </c>
      <c r="D30" s="740">
        <v>200</v>
      </c>
      <c r="E30" s="741"/>
      <c r="F30" s="742"/>
      <c r="G30" s="736">
        <v>300</v>
      </c>
      <c r="H30" s="702"/>
      <c r="I30" s="702"/>
      <c r="J30" s="265">
        <v>100</v>
      </c>
      <c r="K30" s="292">
        <f>IF(OR(G30="", J30=""), "-", IFERROR(-(1 - (J30 / G30)), "-"))</f>
        <v>-0.66666666666666674</v>
      </c>
      <c r="L30" s="737" t="str" cm="1">
        <f t="array" ref="L30">IF(
   OR(
      SUMPRODUCT((G30:G44&lt;&gt;"")*(J30:J44="")) &gt; 0,
      SUMPRODUCT((J30:J44&lt;&gt;"")*(G30:G44="")) &gt; 0
   ),
   template_label_missing_value,
   IF(
      AND(G29=TRUE, COUNTA(D30:F44)=0),
      template_label_missing_value,
      IF(G29=FALSE, "", template_label_ok)
   )
)</f>
        <v>OK</v>
      </c>
      <c r="M30" s="719"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719"/>
      <c r="O30" s="719"/>
      <c r="P30" s="719"/>
      <c r="Q30" s="719"/>
      <c r="R30" s="719"/>
      <c r="S30" s="719"/>
      <c r="T30" s="719"/>
      <c r="U30" s="719"/>
    </row>
    <row r="31" spans="1:21" x14ac:dyDescent="0.3">
      <c r="C31" s="101" t="str">
        <f>template_label_2_capital_goods</f>
        <v>2. Capital Goods</v>
      </c>
      <c r="D31" s="740"/>
      <c r="E31" s="741"/>
      <c r="F31" s="742"/>
      <c r="G31" s="736"/>
      <c r="H31" s="702"/>
      <c r="I31" s="702"/>
      <c r="J31" s="265"/>
      <c r="K31" s="292" t="str">
        <f t="shared" ref="K31:K44" si="1">IF(OR(G31="", J31=""), "-", IFERROR(-(1 - (J31 / G31)), "-"))</f>
        <v>-</v>
      </c>
      <c r="L31" s="737"/>
      <c r="M31" s="719"/>
      <c r="N31" s="719"/>
      <c r="O31" s="719"/>
      <c r="P31" s="719"/>
      <c r="Q31" s="719"/>
      <c r="R31" s="719"/>
      <c r="S31" s="719"/>
      <c r="T31" s="719"/>
      <c r="U31" s="719"/>
    </row>
    <row r="32" spans="1:21" x14ac:dyDescent="0.3">
      <c r="C32" s="101" t="str">
        <f>template_label_3_fuel__and_energy_related_activities</f>
        <v>3. Fuel- and Energy-Related Activities (Not Included in Scope 1 or Scope 2)</v>
      </c>
      <c r="D32" s="740"/>
      <c r="E32" s="741"/>
      <c r="F32" s="742"/>
      <c r="G32" s="736"/>
      <c r="H32" s="702"/>
      <c r="I32" s="702"/>
      <c r="J32" s="265"/>
      <c r="K32" s="292" t="str">
        <f t="shared" si="1"/>
        <v>-</v>
      </c>
      <c r="L32" s="737"/>
      <c r="M32" s="719"/>
      <c r="N32" s="719"/>
      <c r="O32" s="719"/>
      <c r="P32" s="719"/>
      <c r="Q32" s="719"/>
      <c r="R32" s="719"/>
      <c r="S32" s="719"/>
      <c r="T32" s="719"/>
      <c r="U32" s="719"/>
    </row>
    <row r="33" spans="3:21" x14ac:dyDescent="0.3">
      <c r="C33" s="101" t="str">
        <f>template_label_4_upstream_transportation_and_distribution</f>
        <v>4. Upstream Transportation and Distribution</v>
      </c>
      <c r="D33" s="740"/>
      <c r="E33" s="741"/>
      <c r="F33" s="742"/>
      <c r="G33" s="736"/>
      <c r="H33" s="702"/>
      <c r="I33" s="702"/>
      <c r="J33" s="265"/>
      <c r="K33" s="292" t="str">
        <f t="shared" si="1"/>
        <v>-</v>
      </c>
      <c r="L33" s="737"/>
      <c r="M33" s="719"/>
      <c r="N33" s="719"/>
      <c r="O33" s="719"/>
      <c r="P33" s="719"/>
      <c r="Q33" s="719"/>
      <c r="R33" s="719"/>
      <c r="S33" s="719"/>
      <c r="T33" s="719"/>
      <c r="U33" s="719"/>
    </row>
    <row r="34" spans="3:21" x14ac:dyDescent="0.3">
      <c r="C34" s="101" t="str">
        <f>template_label_5_waste_generated_in_operations</f>
        <v>5. Waste Generated in Operations</v>
      </c>
      <c r="D34" s="740"/>
      <c r="E34" s="741"/>
      <c r="F34" s="742"/>
      <c r="G34" s="736"/>
      <c r="H34" s="702"/>
      <c r="I34" s="702"/>
      <c r="J34" s="265"/>
      <c r="K34" s="292" t="str">
        <f t="shared" si="1"/>
        <v>-</v>
      </c>
      <c r="L34" s="737"/>
      <c r="M34" s="719"/>
      <c r="N34" s="719"/>
      <c r="O34" s="719"/>
      <c r="P34" s="719"/>
      <c r="Q34" s="719"/>
      <c r="R34" s="719"/>
      <c r="S34" s="719"/>
      <c r="T34" s="719"/>
      <c r="U34" s="719"/>
    </row>
    <row r="35" spans="3:21" x14ac:dyDescent="0.3">
      <c r="C35" s="101" t="str">
        <f>template_label_6_business_travel</f>
        <v>6. Business Travel</v>
      </c>
      <c r="D35" s="740"/>
      <c r="E35" s="741"/>
      <c r="F35" s="742"/>
      <c r="G35" s="736"/>
      <c r="H35" s="702"/>
      <c r="I35" s="702"/>
      <c r="J35" s="265"/>
      <c r="K35" s="292" t="str">
        <f t="shared" si="1"/>
        <v>-</v>
      </c>
      <c r="L35" s="737"/>
      <c r="M35" s="719"/>
      <c r="N35" s="719"/>
      <c r="O35" s="719"/>
      <c r="P35" s="719"/>
      <c r="Q35" s="719"/>
      <c r="R35" s="719"/>
      <c r="S35" s="719"/>
      <c r="T35" s="719"/>
      <c r="U35" s="719"/>
    </row>
    <row r="36" spans="3:21" x14ac:dyDescent="0.3">
      <c r="C36" s="101" t="str">
        <f>template_label_7_employee_commuting</f>
        <v>7. Employee Commuting</v>
      </c>
      <c r="D36" s="740"/>
      <c r="E36" s="741"/>
      <c r="F36" s="742"/>
      <c r="G36" s="736"/>
      <c r="H36" s="702"/>
      <c r="I36" s="702"/>
      <c r="J36" s="265"/>
      <c r="K36" s="292" t="str">
        <f t="shared" si="1"/>
        <v>-</v>
      </c>
      <c r="L36" s="737"/>
      <c r="M36" s="719"/>
      <c r="N36" s="719"/>
      <c r="O36" s="719"/>
      <c r="P36" s="719"/>
      <c r="Q36" s="719"/>
      <c r="R36" s="719"/>
      <c r="S36" s="719"/>
      <c r="T36" s="719"/>
      <c r="U36" s="719"/>
    </row>
    <row r="37" spans="3:21" x14ac:dyDescent="0.3">
      <c r="C37" s="101" t="str">
        <f>template_label_8_upstream_leased_assets</f>
        <v>8. Upstream Leased Assets</v>
      </c>
      <c r="D37" s="740"/>
      <c r="E37" s="741"/>
      <c r="F37" s="742"/>
      <c r="G37" s="736"/>
      <c r="H37" s="702"/>
      <c r="I37" s="702"/>
      <c r="J37" s="265"/>
      <c r="K37" s="292" t="str">
        <f t="shared" si="1"/>
        <v>-</v>
      </c>
      <c r="L37" s="737"/>
      <c r="M37" s="719"/>
      <c r="N37" s="719"/>
      <c r="O37" s="719"/>
      <c r="P37" s="719"/>
      <c r="Q37" s="719"/>
      <c r="R37" s="719"/>
      <c r="S37" s="719"/>
      <c r="T37" s="719"/>
      <c r="U37" s="719"/>
    </row>
    <row r="38" spans="3:21" x14ac:dyDescent="0.3">
      <c r="C38" s="101" t="str">
        <f>template_label_9_downstream_transportation_and_distribution</f>
        <v>9. Downstream Transportation and Distribution</v>
      </c>
      <c r="D38" s="740">
        <v>500</v>
      </c>
      <c r="E38" s="741"/>
      <c r="F38" s="742"/>
      <c r="G38" s="736">
        <v>400</v>
      </c>
      <c r="H38" s="702"/>
      <c r="I38" s="702"/>
      <c r="J38" s="265">
        <v>200</v>
      </c>
      <c r="K38" s="292">
        <f t="shared" si="1"/>
        <v>-0.5</v>
      </c>
      <c r="L38" s="737"/>
      <c r="M38" s="719"/>
      <c r="N38" s="719"/>
      <c r="O38" s="719"/>
      <c r="P38" s="719"/>
      <c r="Q38" s="719"/>
      <c r="R38" s="719"/>
      <c r="S38" s="719"/>
      <c r="T38" s="719"/>
      <c r="U38" s="719"/>
    </row>
    <row r="39" spans="3:21" x14ac:dyDescent="0.3">
      <c r="C39" s="101" t="str">
        <f>template_label_10_processing_of_sold_products</f>
        <v>10. Processing of Sold Products</v>
      </c>
      <c r="D39" s="740"/>
      <c r="E39" s="741"/>
      <c r="F39" s="742"/>
      <c r="G39" s="736"/>
      <c r="H39" s="702"/>
      <c r="I39" s="702"/>
      <c r="J39" s="265"/>
      <c r="K39" s="292" t="str">
        <f t="shared" si="1"/>
        <v>-</v>
      </c>
      <c r="L39" s="737"/>
      <c r="M39" s="719"/>
      <c r="N39" s="719"/>
      <c r="O39" s="719"/>
      <c r="P39" s="719"/>
      <c r="Q39" s="719"/>
      <c r="R39" s="719"/>
      <c r="S39" s="719"/>
      <c r="T39" s="719"/>
      <c r="U39" s="719"/>
    </row>
    <row r="40" spans="3:21" x14ac:dyDescent="0.3">
      <c r="C40" s="101" t="str">
        <f>template_label_11_use_of_sold_products</f>
        <v>11. Use of Sold Products</v>
      </c>
      <c r="D40" s="740"/>
      <c r="E40" s="741"/>
      <c r="F40" s="742"/>
      <c r="G40" s="736"/>
      <c r="H40" s="702"/>
      <c r="I40" s="702"/>
      <c r="J40" s="265"/>
      <c r="K40" s="292" t="str">
        <f t="shared" si="1"/>
        <v>-</v>
      </c>
      <c r="L40" s="737"/>
      <c r="M40" s="719"/>
      <c r="N40" s="719"/>
      <c r="O40" s="719"/>
      <c r="P40" s="719"/>
      <c r="Q40" s="719"/>
      <c r="R40" s="719"/>
      <c r="S40" s="719"/>
      <c r="T40" s="719"/>
      <c r="U40" s="719"/>
    </row>
    <row r="41" spans="3:21" x14ac:dyDescent="0.3">
      <c r="C41" s="101" t="str">
        <f>template_label_12_end_of_life_treatment_of_sold_products</f>
        <v>12. End-of-Life Treatment of Sold Products</v>
      </c>
      <c r="D41" s="740"/>
      <c r="E41" s="741"/>
      <c r="F41" s="742"/>
      <c r="G41" s="736"/>
      <c r="H41" s="702"/>
      <c r="I41" s="702"/>
      <c r="J41" s="265"/>
      <c r="K41" s="292" t="str">
        <f t="shared" si="1"/>
        <v>-</v>
      </c>
      <c r="L41" s="737"/>
      <c r="M41" s="719"/>
      <c r="N41" s="719"/>
      <c r="O41" s="719"/>
      <c r="P41" s="719"/>
      <c r="Q41" s="719"/>
      <c r="R41" s="719"/>
      <c r="S41" s="719"/>
      <c r="T41" s="719"/>
      <c r="U41" s="719"/>
    </row>
    <row r="42" spans="3:21" x14ac:dyDescent="0.3">
      <c r="C42" s="101" t="str">
        <f>template_label_13_downstream_leased_assets</f>
        <v>13. Downstream Leased Assets</v>
      </c>
      <c r="D42" s="740"/>
      <c r="E42" s="741"/>
      <c r="F42" s="742"/>
      <c r="G42" s="736"/>
      <c r="H42" s="702"/>
      <c r="I42" s="702"/>
      <c r="J42" s="265"/>
      <c r="K42" s="292" t="str">
        <f t="shared" si="1"/>
        <v>-</v>
      </c>
      <c r="L42" s="737"/>
      <c r="M42" s="719"/>
      <c r="N42" s="719"/>
      <c r="O42" s="719"/>
      <c r="P42" s="719"/>
      <c r="Q42" s="719"/>
      <c r="R42" s="719"/>
      <c r="S42" s="719"/>
      <c r="T42" s="719"/>
      <c r="U42" s="719"/>
    </row>
    <row r="43" spans="3:21" x14ac:dyDescent="0.3">
      <c r="C43" s="101" t="str">
        <f>template_label_14_franchises</f>
        <v>14. Franchises</v>
      </c>
      <c r="D43" s="740"/>
      <c r="E43" s="741"/>
      <c r="F43" s="742"/>
      <c r="G43" s="736"/>
      <c r="H43" s="702"/>
      <c r="I43" s="702"/>
      <c r="J43" s="265"/>
      <c r="K43" s="292" t="str">
        <f t="shared" si="1"/>
        <v>-</v>
      </c>
      <c r="L43" s="737"/>
      <c r="M43" s="719"/>
      <c r="N43" s="719"/>
      <c r="O43" s="719"/>
      <c r="P43" s="719"/>
      <c r="Q43" s="719"/>
      <c r="R43" s="719"/>
      <c r="S43" s="719"/>
      <c r="T43" s="719"/>
      <c r="U43" s="719"/>
    </row>
    <row r="44" spans="3:21" x14ac:dyDescent="0.3">
      <c r="C44" s="101" t="str">
        <f>template_label_15_investments</f>
        <v>15. Investments</v>
      </c>
      <c r="D44" s="740"/>
      <c r="E44" s="741"/>
      <c r="F44" s="742"/>
      <c r="G44" s="736"/>
      <c r="H44" s="702"/>
      <c r="I44" s="702"/>
      <c r="J44" s="265"/>
      <c r="K44" s="292" t="str">
        <f t="shared" si="1"/>
        <v>-</v>
      </c>
      <c r="L44" s="737"/>
      <c r="M44" s="719"/>
      <c r="N44" s="719"/>
      <c r="O44" s="719"/>
      <c r="P44" s="719"/>
      <c r="Q44" s="719"/>
      <c r="R44" s="719"/>
      <c r="S44" s="719"/>
      <c r="T44" s="719"/>
      <c r="U44" s="719"/>
    </row>
    <row r="45" spans="3:21" ht="15" thickBot="1" x14ac:dyDescent="0.35">
      <c r="C45" s="112" t="str">
        <f>template_label_total_scope_3_ghg_emissions</f>
        <v>Total Scope 3 GHG  emissions</v>
      </c>
      <c r="D45" s="739">
        <f>IF(AND(G29=FALSE, COUNTA(D30:F44)=0), "-", IF(G29=TRUE, IF(SUM(D30:F44)=0, "-", SUM(D30:F44)), "-"))</f>
        <v>700</v>
      </c>
      <c r="E45" s="739"/>
      <c r="F45" s="745"/>
      <c r="G45" s="738">
        <f>IF(AND(G29=FALSE, COUNTA(G30:I44)=0), "-", IF(G29=TRUE, IF(SUM(G30:I44)=0, "-", SUM(G30:I44)), "-"))</f>
        <v>700</v>
      </c>
      <c r="H45" s="739"/>
      <c r="I45" s="739"/>
      <c r="J45" s="266">
        <f>IF(AND(G29=FALSE, COUNTA(J30:J44)=0), "-", IF(G29=TRUE, IF(SUM(J30:J44)=0, "-", SUM(J30:J44)), "-"))</f>
        <v>300</v>
      </c>
      <c r="K45" s="229">
        <f t="shared" ref="K45:K47" si="2">IF(AND(G45="", J45=""), "-", IFERROR(-(1 - (J45 / G45)), "-"))</f>
        <v>-0.5714285714285714</v>
      </c>
      <c r="L45" s="16"/>
      <c r="M45" s="719"/>
      <c r="N45" s="719"/>
      <c r="O45" s="719"/>
      <c r="P45" s="719"/>
      <c r="Q45" s="719"/>
      <c r="R45" s="719"/>
      <c r="S45" s="719"/>
      <c r="T45" s="719"/>
      <c r="U45" s="719"/>
    </row>
    <row r="46" spans="3:21" x14ac:dyDescent="0.3">
      <c r="C46" s="13" t="str">
        <f>template_label_total_scope_1_scope_2_and_scope_3_ghg_emissions_location_based</f>
        <v>Total Scope 1 Scope 2 and Scope 3 GHG Emissions (location-based)</v>
      </c>
      <c r="D46" s="746">
        <f>IF(G29=FALSE, "-", IF(AND(D22="", D23="", D45=""), "-", IF(SUM(D22, D23, D45)=0, "-", SUM(D22, D23, D45))))</f>
        <v>850</v>
      </c>
      <c r="E46" s="746"/>
      <c r="F46" s="747"/>
      <c r="G46" s="866">
        <f>IF(G29=FALSE, "-", IF(AND(G22="", G23="", G45=""), "-", IF(SUM(G22, G23, G45)=0, "-", SUM(G22, G23, G45))))</f>
        <v>925</v>
      </c>
      <c r="H46" s="746"/>
      <c r="I46" s="746"/>
      <c r="J46" s="262">
        <f>IF(G29=FALSE, "-", IF(AND(J22="", J23="", J45=""), "-", IF(SUM(J22, J23, J45)=0, "-", SUM(J22, J23, J45))))</f>
        <v>390</v>
      </c>
      <c r="K46" s="230">
        <f t="shared" si="2"/>
        <v>-0.57837837837837835</v>
      </c>
      <c r="M46" s="455"/>
      <c r="N46" s="455"/>
      <c r="O46" s="455"/>
      <c r="P46" s="455"/>
      <c r="Q46" s="455"/>
      <c r="R46" s="455"/>
      <c r="S46" s="455"/>
      <c r="T46" s="455"/>
    </row>
    <row r="47" spans="3:21" ht="15" thickBot="1" x14ac:dyDescent="0.35">
      <c r="C47" s="113" t="str">
        <f>template_label_total_scope_1_scope_2_and_scope_3_ghg_emissions_market_based &amp; " - " &amp; template_label_may_not_headline</f>
        <v>Total Scope 1 Scope 2 and Scope 3 GHG Emissions (market-based) - May (optional)</v>
      </c>
      <c r="D47" s="748" t="str">
        <f>IF(G29=FALSE,"-",IF(OR(D22="",D24="",D45=""),"-",SUM(D22,D24,D45)))</f>
        <v>-</v>
      </c>
      <c r="E47" s="749"/>
      <c r="F47" s="750"/>
      <c r="G47" s="867" t="str">
        <f>IF(G29=FALSE, "-", IF(OR(G22="", G24="", G45=""), "-", IF(SUM(G22, G24, G45)=0, "-", SUM(G22, G24, G45))))</f>
        <v>-</v>
      </c>
      <c r="H47" s="749"/>
      <c r="I47" s="868"/>
      <c r="J47" s="264" t="str">
        <f>IF(G29=FALSE, "-", IF(OR(J22="", J24="", J45=""), "-", IF(SUM(J22, J24, J45)=0, "-", SUM(J22, J24, J45))))</f>
        <v>-</v>
      </c>
      <c r="K47" s="229" t="str">
        <f t="shared" si="2"/>
        <v>-</v>
      </c>
      <c r="M47" s="455"/>
      <c r="N47" s="455"/>
      <c r="O47" s="455"/>
      <c r="P47" s="455"/>
      <c r="Q47" s="455"/>
      <c r="R47" s="455"/>
      <c r="S47" s="455"/>
      <c r="T47" s="455"/>
    </row>
    <row r="48" spans="3:21" ht="15" thickBot="1" x14ac:dyDescent="0.35">
      <c r="C48" s="114"/>
      <c r="D48" s="114"/>
      <c r="E48" s="114"/>
      <c r="F48" s="114"/>
      <c r="G48" s="114"/>
      <c r="H48" s="114"/>
      <c r="I48" s="114"/>
      <c r="J48" s="114"/>
      <c r="K48" s="114"/>
    </row>
    <row r="49" spans="1:12" x14ac:dyDescent="0.3">
      <c r="C49" s="777"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2024-01-01 to 2024-12-31 [If applicable]</v>
      </c>
      <c r="D49" s="777"/>
      <c r="E49" s="777"/>
      <c r="F49" s="777"/>
      <c r="G49" s="777"/>
      <c r="H49" s="777"/>
      <c r="I49" s="777"/>
      <c r="J49" s="777"/>
      <c r="K49" s="918"/>
      <c r="L49" s="8"/>
    </row>
    <row r="50" spans="1:12" x14ac:dyDescent="0.3">
      <c r="C50" s="553" t="s">
        <v>3748</v>
      </c>
      <c r="D50" s="553"/>
      <c r="E50" s="553"/>
      <c r="F50" s="553"/>
      <c r="G50" s="553"/>
      <c r="H50" s="553"/>
      <c r="I50" s="553"/>
      <c r="J50" s="553"/>
      <c r="K50" s="917"/>
    </row>
    <row r="51" spans="1:12" x14ac:dyDescent="0.3">
      <c r="C51" s="769">
        <v>159</v>
      </c>
      <c r="D51" s="769"/>
      <c r="E51" s="769"/>
      <c r="F51" s="769"/>
      <c r="G51" s="769"/>
      <c r="H51" s="769"/>
      <c r="I51" s="769"/>
      <c r="J51" s="769"/>
      <c r="K51" s="769"/>
      <c r="L51" s="8"/>
    </row>
    <row r="52" spans="1:12" ht="15" thickBot="1" x14ac:dyDescent="0.35">
      <c r="C52" s="915" t="s">
        <v>9554</v>
      </c>
      <c r="D52" s="915"/>
      <c r="E52" s="915"/>
      <c r="F52" s="915"/>
      <c r="G52" s="915"/>
      <c r="H52" s="915"/>
      <c r="I52" s="915"/>
      <c r="J52" s="915"/>
      <c r="K52" s="916"/>
      <c r="L52" s="104" t="str">
        <f>IF(AND(J19=TRUE, C52&lt;&gt;""), template_label_ok, IF(AND(J19=TRUE, C52=""), template_label_missing_value, ""))</f>
        <v>OK</v>
      </c>
    </row>
    <row r="54" spans="1:12" ht="15" thickBot="1" x14ac:dyDescent="0.35">
      <c r="C54" s="9"/>
      <c r="D54" s="9"/>
      <c r="E54" s="9"/>
      <c r="F54" s="9"/>
      <c r="G54" s="9"/>
      <c r="H54" s="9"/>
      <c r="I54" s="9"/>
      <c r="J54" s="9"/>
      <c r="K54" s="9"/>
    </row>
    <row r="55" spans="1:12" x14ac:dyDescent="0.3">
      <c r="C55" s="777"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2024-01-01 to 2024-12-31 [If applicable]</v>
      </c>
      <c r="D55" s="777"/>
      <c r="E55" s="777"/>
      <c r="F55" s="777"/>
      <c r="G55" s="777"/>
      <c r="H55" s="777"/>
      <c r="I55" s="777"/>
      <c r="J55" s="777"/>
      <c r="K55" s="778"/>
    </row>
    <row r="56" spans="1:12" ht="38.4" customHeight="1" x14ac:dyDescent="0.3">
      <c r="A56" s="441">
        <v>55</v>
      </c>
      <c r="B56" s="444" t="s">
        <v>5647</v>
      </c>
      <c r="C56" s="101" t="str">
        <f>template_label_is_the_undertaking_operating_in_high_impact_sectors</f>
        <v>Is the undertaking operating in high impact sectors?</v>
      </c>
      <c r="D56" s="874" t="b">
        <f>OR(
  ISNUMBER(MATCH('General Information'!E226, 'Enumeration Lists'!D3:D677, 0)),
  ISNUMBER(MATCH('General Information'!E227, 'Enumeration Lists'!D3:D677, 0)),
  ISNUMBER(MATCH('General Information'!E228, 'Enumeration Lists'!D3:D677, 0)),
  ISNUMBER(MATCH('General Information'!E229, 'Enumeration Lists'!D3:D677, 0)),
  ISNUMBER(MATCH('General Information'!E230, 'Enumeration Lists'!D3:D677, 0)),
  ISNUMBER(MATCH('General Information'!E226, 'Enumeration Lists'!D782:D791, 0)),
  ISNUMBER(MATCH('General Information'!E227, 'Enumeration Lists'!D782:D791, 0)),
  ISNUMBER(MATCH('General Information'!E228, 'Enumeration Lists'!D782:D791, 0)),
  ISNUMBER(MATCH('General Information'!E229, 'Enumeration Lists'!D782:D791, 0)),
  ISNUMBER(MATCH('General Information'!E230, 'Enumeration Lists'!D782:D791, 0))
)</f>
        <v>1</v>
      </c>
      <c r="E56" s="875"/>
      <c r="F56" s="875"/>
      <c r="G56" s="875"/>
      <c r="H56" s="875"/>
      <c r="I56" s="875"/>
      <c r="J56" s="875"/>
      <c r="K56" s="876"/>
      <c r="L56" s="16"/>
    </row>
    <row r="57" spans="1:12" x14ac:dyDescent="0.3">
      <c r="A57" s="441">
        <v>55</v>
      </c>
      <c r="B57" s="444" t="s">
        <v>5647</v>
      </c>
      <c r="C57" s="101" t="str">
        <f>template_label_status_of_implementation_of_a_transition_plan_in_relation_to_climate_change_mitigation</f>
        <v>Status of implementation of a transition plan in relation to climate change mitigation</v>
      </c>
      <c r="D57" s="910" t="s">
        <v>3575</v>
      </c>
      <c r="E57" s="911"/>
      <c r="F57" s="911"/>
      <c r="G57" s="911"/>
      <c r="H57" s="911"/>
      <c r="I57" s="911"/>
      <c r="J57" s="911"/>
      <c r="K57" s="912"/>
      <c r="L57" s="16" t="str">
        <f>IF(AND(OR(D57="A transition plan has already been adopted", D57="Adoption of a transition plan is planned in the future"), D56=TRUE),
    template_label_ok,
    IF(AND(BasisForPreparation="Option B (Basic Module and Comprehensive Module)", D57="", D56=TRUE),
       template_label_missing_value,
       ""
    )
)</f>
        <v>OK</v>
      </c>
    </row>
    <row r="58" spans="1:12" ht="28.8" x14ac:dyDescent="0.3">
      <c r="A58" s="441">
        <v>55</v>
      </c>
      <c r="B58" s="444" t="s">
        <v>5647</v>
      </c>
      <c r="C58" s="115"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913"/>
      <c r="E58" s="913"/>
      <c r="F58" s="913"/>
      <c r="G58" s="913"/>
      <c r="H58" s="913"/>
      <c r="I58" s="913"/>
      <c r="J58" s="913"/>
      <c r="K58" s="914"/>
      <c r="L58" s="16" t="str">
        <f>IF(AND(D57="A transition plan has already been adopted", DescriptionOfATransitionPlanForClimateChangeMitigationIncludingAnExplanationOfHowItIsContributingToReduceGhgEmissions&lt;&gt;""), template_label_ok, "")</f>
        <v/>
      </c>
    </row>
    <row r="59" spans="1:12" x14ac:dyDescent="0.3">
      <c r="A59" s="721">
        <v>56</v>
      </c>
      <c r="B59" s="724" t="s">
        <v>5647</v>
      </c>
      <c r="C59" s="727" t="str">
        <f>template_label_date_of_foreseen_adoption_of_transition_plan_for_undertaking_not_having_adopted_transition_plan_yet</f>
        <v>Date of foreseen adoption of transition plan for undertaking not having adopted transition plan yet</v>
      </c>
      <c r="D59" s="730" t="str">
        <f>template_label_year</f>
        <v>Year</v>
      </c>
      <c r="E59" s="731"/>
      <c r="F59" s="731"/>
      <c r="G59" s="731"/>
      <c r="H59" s="732"/>
      <c r="I59" s="733">
        <v>2028</v>
      </c>
      <c r="J59" s="734"/>
      <c r="K59" s="735"/>
      <c r="L59" s="720"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OK</v>
      </c>
    </row>
    <row r="60" spans="1:12" x14ac:dyDescent="0.3">
      <c r="A60" s="722"/>
      <c r="B60" s="725"/>
      <c r="C60" s="728"/>
      <c r="D60" s="730" t="str">
        <f>template_label_month</f>
        <v>Month</v>
      </c>
      <c r="E60" s="731"/>
      <c r="F60" s="731"/>
      <c r="G60" s="731"/>
      <c r="H60" s="732"/>
      <c r="I60" s="733">
        <v>1</v>
      </c>
      <c r="J60" s="734"/>
      <c r="K60" s="735"/>
      <c r="L60" s="720"/>
    </row>
    <row r="61" spans="1:12" x14ac:dyDescent="0.3">
      <c r="A61" s="722"/>
      <c r="B61" s="725"/>
      <c r="C61" s="728"/>
      <c r="D61" s="730" t="str">
        <f>template_label_day</f>
        <v>Day</v>
      </c>
      <c r="E61" s="731"/>
      <c r="F61" s="731"/>
      <c r="G61" s="731"/>
      <c r="H61" s="732"/>
      <c r="I61" s="733">
        <v>1</v>
      </c>
      <c r="J61" s="734"/>
      <c r="K61" s="735"/>
      <c r="L61" s="720"/>
    </row>
    <row r="62" spans="1:12" ht="15" thickBot="1" x14ac:dyDescent="0.35">
      <c r="A62" s="723"/>
      <c r="B62" s="726"/>
      <c r="C62" s="729"/>
      <c r="D62" s="872" t="str">
        <f>IF(OR(ISBLANK(I59), ISBLANK(I60), ISBLANK(I61)), "-", I59 &amp; "-" &amp; TEXT(I60, "00") &amp; "-" &amp; TEXT(I61, "00"))</f>
        <v>2028-01-01</v>
      </c>
      <c r="E62" s="872"/>
      <c r="F62" s="872"/>
      <c r="G62" s="872"/>
      <c r="H62" s="872"/>
      <c r="I62" s="872"/>
      <c r="J62" s="872"/>
      <c r="K62" s="873"/>
      <c r="L62" s="381"/>
    </row>
    <row r="63" spans="1:12" ht="15" thickBot="1" x14ac:dyDescent="0.35"/>
    <row r="64" spans="1:12" ht="14.85" customHeight="1" x14ac:dyDescent="0.3">
      <c r="C64" s="623"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2024-01-01 to 2024-12-31 [Always to be reported]</v>
      </c>
      <c r="D64" s="623"/>
      <c r="E64" s="623"/>
      <c r="F64" s="623"/>
      <c r="G64" s="623"/>
      <c r="H64" s="623"/>
      <c r="I64" s="623"/>
      <c r="J64" s="623"/>
      <c r="K64" s="776"/>
    </row>
    <row r="65" spans="3:12" ht="14.85" customHeight="1" x14ac:dyDescent="0.3">
      <c r="C65" s="774">
        <v>31</v>
      </c>
      <c r="D65" s="774"/>
      <c r="E65" s="774"/>
      <c r="F65" s="774"/>
      <c r="G65" s="774"/>
      <c r="H65" s="774"/>
      <c r="I65" s="774"/>
      <c r="J65" s="774"/>
      <c r="K65" s="775"/>
    </row>
    <row r="66" spans="3:12" x14ac:dyDescent="0.3">
      <c r="C66" s="649" t="str">
        <f>template_label_scope_1_and_scope_2_ghg_emissions_intensity_location_based</f>
        <v>Scope 1 and Scope 2 GHG Emissions intensity (location-based)</v>
      </c>
      <c r="D66" s="650"/>
      <c r="E66" s="650"/>
      <c r="F66" s="650"/>
      <c r="G66" s="772" t="str">
        <f>IF(G29=TRUE,
   "-",
   IFERROR(
      IF(OR(D25="", Turnover=""), "-", D25/Turnover),
      "-"
   )
)</f>
        <v>-</v>
      </c>
      <c r="H66" s="772"/>
      <c r="I66" s="772"/>
      <c r="J66" s="772"/>
      <c r="K66" s="773"/>
    </row>
    <row r="67" spans="3:12" x14ac:dyDescent="0.3">
      <c r="C67" s="727" t="str">
        <f>template_label_scope_1_and_scope_2_ghg_emissions_intensity_market_based &amp; " - " &amp; template_label_may_not_headline</f>
        <v>Scope 1 and Scope 2 GHG Emissions intensity (market-based) - May (optional)</v>
      </c>
      <c r="D67" s="869"/>
      <c r="E67" s="869"/>
      <c r="F67" s="869"/>
      <c r="G67" s="870" t="str">
        <f>IF(G29=TRUE,
   "-",
   IFERROR(
      IF(OR(D26="", Turnover=""), "-", D26/Turnover),
      "-"
   )
)</f>
        <v>-</v>
      </c>
      <c r="H67" s="870"/>
      <c r="I67" s="870"/>
      <c r="J67" s="870"/>
      <c r="K67" s="871"/>
    </row>
    <row r="68" spans="3:12" x14ac:dyDescent="0.3">
      <c r="C68" s="649" t="str">
        <f>template_label_total_scope_1_scope_2_and_scope_3_ghg_emissions_intensity_location_based</f>
        <v>Total Scope 1 Scope 2 and Scope 3 GHG Emissions intensity (location-based)</v>
      </c>
      <c r="D68" s="650"/>
      <c r="E68" s="650"/>
      <c r="F68" s="835"/>
      <c r="G68" s="919">
        <f>IF(G29=FALSE,
   "-",
   IFERROR(
      IF(OR(D46="", Turnover=""), "-", D46/Turnover),
      "-"
   )
)</f>
        <v>3.6170212765957448E-3</v>
      </c>
      <c r="H68" s="920"/>
      <c r="I68" s="920"/>
      <c r="J68" s="920"/>
      <c r="K68" s="921"/>
    </row>
    <row r="69" spans="3:12" ht="15" thickBot="1" x14ac:dyDescent="0.35">
      <c r="C69" s="589" t="str">
        <f>template_label_total_scope_1_scope_2_and_scope_3_ghg_emissions_intensity_market_based &amp; " - " &amp; template_label_may_not_headline</f>
        <v>Total Scope 1 Scope 2 and Scope 3 GHG Emissions intensity (market-based) - May (optional)</v>
      </c>
      <c r="D69" s="590"/>
      <c r="E69" s="590"/>
      <c r="F69" s="836"/>
      <c r="G69" s="880" t="str">
        <f>IF(G29=FALSE,
   "-",
   IFERROR(
      IF(OR(D47="", Turnover=""), "-", D47/Turnover),
      "-"
   )
)</f>
        <v>-</v>
      </c>
      <c r="H69" s="881"/>
      <c r="I69" s="881"/>
      <c r="J69" s="881"/>
      <c r="K69" s="882"/>
      <c r="L69" s="8"/>
    </row>
    <row r="70" spans="3:12" ht="15" thickBot="1" x14ac:dyDescent="0.35"/>
    <row r="71" spans="3:12" x14ac:dyDescent="0.3">
      <c r="C71" s="779" t="str">
        <f>template_label_b4_pollution_of_air_water_and_soil&amp;" "&amp;template_label_from&amp;" "&amp;template_starting_date_display&amp;" "&amp;template_label_to&amp;" "&amp;template_ending_date_display&amp;" "&amp;template_label_if_applicable</f>
        <v>B4 – Pollution of air water and soil from 2024-01-01 to 2024-12-31 [If applicable]</v>
      </c>
      <c r="D71" s="780"/>
      <c r="E71" s="780"/>
      <c r="F71" s="780"/>
      <c r="G71" s="780"/>
      <c r="H71" s="780"/>
      <c r="I71" s="780"/>
      <c r="J71" s="780"/>
      <c r="K71" s="781"/>
    </row>
    <row r="72" spans="3:12" x14ac:dyDescent="0.3">
      <c r="C72" s="782">
        <v>32</v>
      </c>
      <c r="D72" s="783"/>
      <c r="E72" s="783"/>
      <c r="F72" s="783"/>
      <c r="G72" s="783"/>
      <c r="H72" s="783"/>
      <c r="I72" s="783"/>
      <c r="J72" s="783"/>
      <c r="K72" s="784"/>
    </row>
    <row r="73" spans="3:12" x14ac:dyDescent="0.3">
      <c r="C73" s="713" t="s">
        <v>5648</v>
      </c>
      <c r="D73" s="714"/>
      <c r="E73" s="714"/>
      <c r="F73" s="714"/>
      <c r="G73" s="714"/>
      <c r="H73" s="714"/>
      <c r="I73" s="714"/>
      <c r="J73" s="714"/>
      <c r="K73" s="715"/>
    </row>
    <row r="74" spans="3:12" ht="30" customHeight="1" x14ac:dyDescent="0.3">
      <c r="C74" s="675"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851"/>
      <c r="E74" s="851"/>
      <c r="F74" s="676"/>
      <c r="G74" s="877" t="b">
        <v>1</v>
      </c>
      <c r="H74" s="878"/>
      <c r="I74" s="878"/>
      <c r="J74" s="878"/>
      <c r="K74" s="879"/>
      <c r="L74" s="16"/>
    </row>
    <row r="75" spans="3:12" x14ac:dyDescent="0.3">
      <c r="C75" s="649" t="str">
        <f>template_label_is_this_disclosure_already_publicly_available</f>
        <v>Is this disclosure already publicly available?</v>
      </c>
      <c r="D75" s="650"/>
      <c r="E75" s="650"/>
      <c r="F75" s="650"/>
      <c r="G75" s="863" t="b">
        <v>0</v>
      </c>
      <c r="H75" s="863"/>
      <c r="I75" s="863"/>
      <c r="J75" s="863"/>
      <c r="K75" s="864"/>
      <c r="L75" s="16" t="str" cm="1">
        <f t="array" ref="L75">IF(AND(G75=TRUE, D80:K179=""),
    template_label_ok,
    IF(AND(OR(D80:K179&lt;&gt;""), G75=TRUE),
       template_label_value_inconsistency,
       ""
    )
)</f>
        <v/>
      </c>
    </row>
    <row r="76" spans="3:12" x14ac:dyDescent="0.3">
      <c r="C76" s="649" t="str">
        <f>template_label_please_provide_the_relevant_url_link_or_hyperlink_of_where_this_information_is_reported</f>
        <v>Please provide the relevant URL link or hyperlink of where this information is reported</v>
      </c>
      <c r="D76" s="650"/>
      <c r="E76" s="650"/>
      <c r="F76" s="650"/>
      <c r="G76" s="883"/>
      <c r="H76" s="716"/>
      <c r="I76" s="716"/>
      <c r="J76" s="716"/>
      <c r="K76" s="884"/>
      <c r="L76" s="16" t="str">
        <f>IF(G75=TRUE,
   IF(G76="",
      template_label_missing_value,
      IF(OR(LEFT(G76,7)="http://", LEFT(G76,8)="https://", LEFT(G76,4)="www."),
         template_label_ok,
         template_label_invalid_url
      )
   ),
"")</f>
        <v/>
      </c>
    </row>
    <row r="77" spans="3:12" x14ac:dyDescent="0.3">
      <c r="C77" s="857" t="str">
        <f>template_label_please_select_the_unit_used_for_reporting_the_amount</f>
        <v>Please select the unit used for reporting the amount (i.e. either kg or tonne)</v>
      </c>
      <c r="D77" s="858"/>
      <c r="E77" s="858"/>
      <c r="F77" s="858"/>
      <c r="G77" s="858"/>
      <c r="H77" s="858"/>
      <c r="I77" s="858"/>
      <c r="J77" s="858"/>
      <c r="K77" s="859"/>
    </row>
    <row r="78" spans="3:12" x14ac:dyDescent="0.3">
      <c r="C78" s="860" t="s">
        <v>2757</v>
      </c>
      <c r="D78" s="861"/>
      <c r="E78" s="861"/>
      <c r="F78" s="861"/>
      <c r="G78" s="861"/>
      <c r="H78" s="861"/>
      <c r="I78" s="861"/>
      <c r="J78" s="861"/>
      <c r="K78" s="862"/>
      <c r="L78" s="17" t="str" cm="1">
        <f t="array" ref="L78">IF(AND(OR(D80:F179&lt;&gt;"", G80:I179&lt;&gt;"", J80:J179&lt;&gt;"", G296&lt;&gt;"", K80:K179&lt;&gt;""), C78&lt;&gt;"", G74=TRUE, G75=FALSE),
    template_label_ok,
    IF(AND(OR(D80:F179&lt;&gt;"", G80:I179&lt;&gt;"", J80:J179&lt;&gt;"", G296&lt;&gt;"", K80:K179&lt;&gt;""), C78&lt;&gt;"", G74=TRUE, G75=TRUE),
        template_label_value_inconsistency,
        IF(AND(OR(D80:D179="", G80:G179="", J80:J179="", K80:K179=""), C78&lt;&gt;"", G74=TRUE, G75=FALSE),
            template_label_ok,
            IF(AND(OR(D80:D179="", G80:G179="", J80:J179="", K80:K179=""), C78&lt;&gt;"", G74=TRUE, G75=TRUE),
                template_label_value_inconsistency,
                IF(AND(C78="", G74=TRUE, G75=FALSE),
                    template_label_missing_value,
                    ""
                )
            )
        )
    )
)</f>
        <v>OK</v>
      </c>
    </row>
    <row r="79" spans="3:12" x14ac:dyDescent="0.3">
      <c r="C79" s="117" t="str">
        <f>template_label_row_id</f>
        <v>Row ID</v>
      </c>
      <c r="D79" s="809" t="str">
        <f>template_label_pollutant</f>
        <v>Pollutant</v>
      </c>
      <c r="E79" s="809"/>
      <c r="F79" s="809"/>
      <c r="G79" s="809" t="str">
        <f>template_label_emission_to_air</f>
        <v>Emission to air</v>
      </c>
      <c r="H79" s="809"/>
      <c r="I79" s="809"/>
      <c r="J79" s="6" t="str">
        <f>template_label_emission_to_water</f>
        <v>Emission to water</v>
      </c>
      <c r="K79" s="107" t="str">
        <f>template_label_emission_to_soil</f>
        <v>Emission to soil</v>
      </c>
    </row>
    <row r="80" spans="3:12" x14ac:dyDescent="0.3">
      <c r="C80" s="231">
        <v>1</v>
      </c>
      <c r="D80" s="716" t="s">
        <v>2728</v>
      </c>
      <c r="E80" s="716"/>
      <c r="F80" s="716"/>
      <c r="G80" s="740">
        <v>567</v>
      </c>
      <c r="H80" s="741"/>
      <c r="I80" s="760"/>
      <c r="J80" s="265"/>
      <c r="K80" s="267"/>
      <c r="L80" s="16" t="str">
        <f>IF(AND($G$74=TRUE,$G$75=TRUE,OR(D80&lt;&gt;"",G80&lt;&gt;"",J80&lt;&gt;"",K80&lt;&gt;"")),
template_label_value_inconsistency,
IF($G$74&lt;&gt;TRUE,"",
IF(AND(D80="",G80="",J80="",K80="",G74=TRUE,G75=FALSE),template_label_missing_value,
IF(AND(D80="",G80="",J80="",K80="",G74=TRUE,G75=TRUE),"",
IF(AND(D80="",G80="",J80="",K80="",G74=FALSE),"",
IF(AND(D80&lt;&gt;"",G80="",J80="",K80=""),template_label_missing_value,
IF(AND(D80&lt;&gt;"",OR(G80&lt;&gt;"",J80&lt;&gt;"",K80&lt;&gt;"")),
IF(COUNTIF($D$80:$D$179,D80)&gt;1,template_label_value_inconsistency,template_label_ok),
template_label_missing_value)))))))</f>
        <v>OK</v>
      </c>
    </row>
    <row r="81" spans="3:13" x14ac:dyDescent="0.3">
      <c r="C81" s="231">
        <v>2</v>
      </c>
      <c r="D81" s="716" t="s">
        <v>2725</v>
      </c>
      <c r="E81" s="716"/>
      <c r="F81" s="716"/>
      <c r="G81" s="740"/>
      <c r="H81" s="741"/>
      <c r="I81" s="760"/>
      <c r="J81" s="265"/>
      <c r="K81" s="267">
        <v>67</v>
      </c>
      <c r="L81" s="16" t="str">
        <f t="shared" ref="L81:L179" si="3">IF(AND($G$74=TRUE,$G$75=TRUE,OR(D81&lt;&gt;"",G81&lt;&gt;"",J81&lt;&gt;"",K81&lt;&gt;"")),
    template_label_value_inconsistency,
IF($G$74&lt;&gt;TRUE, "",
IF(AND(D81="", G81="", J81="", K81=""), "",
IF(AND(D81&lt;&gt;"", G81="", J81="", K81=""), template_label_missing_value,
IF(AND(D81&lt;&gt;"", OR(G81&lt;&gt;"", J81&lt;&gt;"", K81&lt;&gt;"")),
    IF(COUNTIF($D$80:$D$179, D81)&gt;1, template_label_value_inconsistency, template_label_ok),
template_label_missing_value)))))</f>
        <v>OK</v>
      </c>
    </row>
    <row r="82" spans="3:13" ht="15" thickBot="1" x14ac:dyDescent="0.35">
      <c r="C82" s="233">
        <v>3</v>
      </c>
      <c r="D82" s="765" t="s">
        <v>2719</v>
      </c>
      <c r="E82" s="765"/>
      <c r="F82" s="765"/>
      <c r="G82" s="761"/>
      <c r="H82" s="762"/>
      <c r="I82" s="763"/>
      <c r="J82" s="268">
        <v>567</v>
      </c>
      <c r="K82" s="269"/>
      <c r="L82" s="16" t="str">
        <f t="shared" si="3"/>
        <v>OK</v>
      </c>
      <c r="M82" t="str">
        <f>template_label_additional_rows_warning</f>
        <v>ℹ️  Lists can be expanded using the little [+] button on the left.  If the number of rows is not sufficient, those can be added by right clicking the second row and selecting "Insert row".</v>
      </c>
    </row>
    <row r="83" spans="3:13" hidden="1" outlineLevel="1" x14ac:dyDescent="0.3">
      <c r="C83" s="232">
        <v>4</v>
      </c>
      <c r="D83" s="865"/>
      <c r="E83" s="865"/>
      <c r="F83" s="865"/>
      <c r="G83" s="764"/>
      <c r="H83" s="764"/>
      <c r="I83" s="764"/>
      <c r="J83" s="270"/>
      <c r="K83" s="271"/>
      <c r="L83" s="16" t="str">
        <f t="shared" si="3"/>
        <v/>
      </c>
    </row>
    <row r="84" spans="3:13" hidden="1" outlineLevel="1" x14ac:dyDescent="0.3">
      <c r="C84" s="231">
        <v>5</v>
      </c>
      <c r="D84" s="716"/>
      <c r="E84" s="716"/>
      <c r="F84" s="716"/>
      <c r="G84" s="702"/>
      <c r="H84" s="702"/>
      <c r="I84" s="702"/>
      <c r="J84" s="265"/>
      <c r="K84" s="267"/>
      <c r="L84" s="16" t="str">
        <f t="shared" si="3"/>
        <v/>
      </c>
    </row>
    <row r="85" spans="3:13" hidden="1" outlineLevel="1" x14ac:dyDescent="0.3">
      <c r="C85" s="231">
        <v>6</v>
      </c>
      <c r="D85" s="716"/>
      <c r="E85" s="716"/>
      <c r="F85" s="716"/>
      <c r="G85" s="702"/>
      <c r="H85" s="702"/>
      <c r="I85" s="702"/>
      <c r="J85" s="265"/>
      <c r="K85" s="267"/>
      <c r="L85" s="16" t="str">
        <f t="shared" si="3"/>
        <v/>
      </c>
    </row>
    <row r="86" spans="3:13" hidden="1" outlineLevel="1" x14ac:dyDescent="0.3">
      <c r="C86" s="231">
        <v>7</v>
      </c>
      <c r="D86" s="716"/>
      <c r="E86" s="716"/>
      <c r="F86" s="716"/>
      <c r="G86" s="702"/>
      <c r="H86" s="702"/>
      <c r="I86" s="702"/>
      <c r="J86" s="265"/>
      <c r="K86" s="267"/>
      <c r="L86" s="16" t="str">
        <f t="shared" si="3"/>
        <v/>
      </c>
    </row>
    <row r="87" spans="3:13" hidden="1" outlineLevel="1" x14ac:dyDescent="0.3">
      <c r="C87" s="231">
        <v>8</v>
      </c>
      <c r="D87" s="716"/>
      <c r="E87" s="716"/>
      <c r="F87" s="716"/>
      <c r="G87" s="702"/>
      <c r="H87" s="702"/>
      <c r="I87" s="702"/>
      <c r="J87" s="265"/>
      <c r="K87" s="267"/>
      <c r="L87" s="16" t="str">
        <f t="shared" si="3"/>
        <v/>
      </c>
    </row>
    <row r="88" spans="3:13" hidden="1" outlineLevel="1" x14ac:dyDescent="0.3">
      <c r="C88" s="231">
        <v>9</v>
      </c>
      <c r="D88" s="716"/>
      <c r="E88" s="716"/>
      <c r="F88" s="716"/>
      <c r="G88" s="702"/>
      <c r="H88" s="702"/>
      <c r="I88" s="702"/>
      <c r="J88" s="265"/>
      <c r="K88" s="267"/>
      <c r="L88" s="16" t="str">
        <f t="shared" si="3"/>
        <v/>
      </c>
    </row>
    <row r="89" spans="3:13" hidden="1" outlineLevel="1" x14ac:dyDescent="0.3">
      <c r="C89" s="231">
        <v>10</v>
      </c>
      <c r="D89" s="716"/>
      <c r="E89" s="716"/>
      <c r="F89" s="716"/>
      <c r="G89" s="702"/>
      <c r="H89" s="702"/>
      <c r="I89" s="702"/>
      <c r="J89" s="265"/>
      <c r="K89" s="267"/>
      <c r="L89" s="16" t="str">
        <f t="shared" si="3"/>
        <v/>
      </c>
    </row>
    <row r="90" spans="3:13" hidden="1" outlineLevel="1" x14ac:dyDescent="0.3">
      <c r="C90" s="231">
        <v>11</v>
      </c>
      <c r="D90" s="716"/>
      <c r="E90" s="716"/>
      <c r="F90" s="716"/>
      <c r="G90" s="702"/>
      <c r="H90" s="702"/>
      <c r="I90" s="702"/>
      <c r="J90" s="265"/>
      <c r="K90" s="267"/>
      <c r="L90" s="16" t="str">
        <f t="shared" si="3"/>
        <v/>
      </c>
    </row>
    <row r="91" spans="3:13" hidden="1" outlineLevel="1" x14ac:dyDescent="0.3">
      <c r="C91" s="231">
        <v>12</v>
      </c>
      <c r="D91" s="716"/>
      <c r="E91" s="716"/>
      <c r="F91" s="716"/>
      <c r="G91" s="702"/>
      <c r="H91" s="702"/>
      <c r="I91" s="702"/>
      <c r="J91" s="265"/>
      <c r="K91" s="267"/>
      <c r="L91" s="16" t="str">
        <f t="shared" si="3"/>
        <v/>
      </c>
    </row>
    <row r="92" spans="3:13" hidden="1" outlineLevel="1" x14ac:dyDescent="0.3">
      <c r="C92" s="231">
        <v>13</v>
      </c>
      <c r="D92" s="716"/>
      <c r="E92" s="716"/>
      <c r="F92" s="716"/>
      <c r="G92" s="702"/>
      <c r="H92" s="702"/>
      <c r="I92" s="702"/>
      <c r="J92" s="265"/>
      <c r="K92" s="267"/>
      <c r="L92" s="16" t="str">
        <f t="shared" si="3"/>
        <v/>
      </c>
    </row>
    <row r="93" spans="3:13" hidden="1" outlineLevel="1" x14ac:dyDescent="0.3">
      <c r="C93" s="231">
        <v>14</v>
      </c>
      <c r="D93" s="716"/>
      <c r="E93" s="716"/>
      <c r="F93" s="716"/>
      <c r="G93" s="702"/>
      <c r="H93" s="702"/>
      <c r="I93" s="702"/>
      <c r="J93" s="265"/>
      <c r="K93" s="267"/>
      <c r="L93" s="16" t="str">
        <f t="shared" si="3"/>
        <v/>
      </c>
    </row>
    <row r="94" spans="3:13" hidden="1" outlineLevel="1" x14ac:dyDescent="0.3">
      <c r="C94" s="231">
        <v>15</v>
      </c>
      <c r="D94" s="716"/>
      <c r="E94" s="716"/>
      <c r="F94" s="716"/>
      <c r="G94" s="702"/>
      <c r="H94" s="702"/>
      <c r="I94" s="702"/>
      <c r="J94" s="265"/>
      <c r="K94" s="267"/>
      <c r="L94" s="16" t="str">
        <f t="shared" si="3"/>
        <v/>
      </c>
    </row>
    <row r="95" spans="3:13" hidden="1" outlineLevel="1" x14ac:dyDescent="0.3">
      <c r="C95" s="231">
        <v>16</v>
      </c>
      <c r="D95" s="716"/>
      <c r="E95" s="716"/>
      <c r="F95" s="716"/>
      <c r="G95" s="702"/>
      <c r="H95" s="702"/>
      <c r="I95" s="702"/>
      <c r="J95" s="265"/>
      <c r="K95" s="267"/>
      <c r="L95" s="16" t="str">
        <f t="shared" si="3"/>
        <v/>
      </c>
    </row>
    <row r="96" spans="3:13" hidden="1" outlineLevel="1" x14ac:dyDescent="0.3">
      <c r="C96" s="231">
        <v>17</v>
      </c>
      <c r="D96" s="716"/>
      <c r="E96" s="716"/>
      <c r="F96" s="716"/>
      <c r="G96" s="702"/>
      <c r="H96" s="702"/>
      <c r="I96" s="702"/>
      <c r="J96" s="265"/>
      <c r="K96" s="267"/>
      <c r="L96" s="16" t="str">
        <f t="shared" si="3"/>
        <v/>
      </c>
    </row>
    <row r="97" spans="3:13" hidden="1" outlineLevel="1" x14ac:dyDescent="0.3">
      <c r="C97" s="231">
        <v>18</v>
      </c>
      <c r="D97" s="716"/>
      <c r="E97" s="716"/>
      <c r="F97" s="716"/>
      <c r="G97" s="702"/>
      <c r="H97" s="702"/>
      <c r="I97" s="702"/>
      <c r="J97" s="265"/>
      <c r="K97" s="267"/>
      <c r="L97" s="16" t="str">
        <f t="shared" si="3"/>
        <v/>
      </c>
    </row>
    <row r="98" spans="3:13" hidden="1" outlineLevel="1" x14ac:dyDescent="0.3">
      <c r="C98" s="231">
        <v>19</v>
      </c>
      <c r="D98" s="716"/>
      <c r="E98" s="716"/>
      <c r="F98" s="716"/>
      <c r="G98" s="702"/>
      <c r="H98" s="702"/>
      <c r="I98" s="702"/>
      <c r="J98" s="265"/>
      <c r="K98" s="267"/>
      <c r="L98" s="16" t="str">
        <f t="shared" si="3"/>
        <v/>
      </c>
    </row>
    <row r="99" spans="3:13" hidden="1" outlineLevel="1" x14ac:dyDescent="0.3">
      <c r="C99" s="231">
        <v>20</v>
      </c>
      <c r="D99" s="716"/>
      <c r="E99" s="716"/>
      <c r="F99" s="716"/>
      <c r="G99" s="702"/>
      <c r="H99" s="702"/>
      <c r="I99" s="702"/>
      <c r="J99" s="265"/>
      <c r="K99" s="267"/>
      <c r="L99" s="16" t="str">
        <f t="shared" si="3"/>
        <v/>
      </c>
    </row>
    <row r="100" spans="3:13" hidden="1" outlineLevel="1" x14ac:dyDescent="0.3">
      <c r="C100" s="231">
        <v>21</v>
      </c>
      <c r="D100" s="716"/>
      <c r="E100" s="716"/>
      <c r="F100" s="716"/>
      <c r="G100" s="702"/>
      <c r="H100" s="702"/>
      <c r="I100" s="702"/>
      <c r="J100" s="265"/>
      <c r="K100" s="267"/>
      <c r="L100" s="16" t="str">
        <f t="shared" si="3"/>
        <v/>
      </c>
    </row>
    <row r="101" spans="3:13" hidden="1" outlineLevel="1" x14ac:dyDescent="0.3">
      <c r="C101" s="231">
        <v>22</v>
      </c>
      <c r="D101" s="716"/>
      <c r="E101" s="716"/>
      <c r="F101" s="716"/>
      <c r="G101" s="702"/>
      <c r="H101" s="702"/>
      <c r="I101" s="702"/>
      <c r="J101" s="265"/>
      <c r="K101" s="267"/>
      <c r="L101" s="16" t="str">
        <f t="shared" si="3"/>
        <v/>
      </c>
    </row>
    <row r="102" spans="3:13" hidden="1" outlineLevel="1" x14ac:dyDescent="0.3">
      <c r="C102" s="231">
        <v>23</v>
      </c>
      <c r="D102" s="716"/>
      <c r="E102" s="716"/>
      <c r="F102" s="716"/>
      <c r="G102" s="702"/>
      <c r="H102" s="702"/>
      <c r="I102" s="702"/>
      <c r="J102" s="265"/>
      <c r="K102" s="267"/>
      <c r="L102" s="16" t="str">
        <f t="shared" si="3"/>
        <v/>
      </c>
    </row>
    <row r="103" spans="3:13" hidden="1" outlineLevel="1" x14ac:dyDescent="0.3">
      <c r="C103" s="231">
        <v>24</v>
      </c>
      <c r="D103" s="716"/>
      <c r="E103" s="716"/>
      <c r="F103" s="716"/>
      <c r="G103" s="702"/>
      <c r="H103" s="702"/>
      <c r="I103" s="702"/>
      <c r="J103" s="265"/>
      <c r="K103" s="267"/>
      <c r="L103" s="16" t="str">
        <f t="shared" si="3"/>
        <v/>
      </c>
    </row>
    <row r="104" spans="3:13" hidden="1" outlineLevel="1" x14ac:dyDescent="0.3">
      <c r="C104" s="231">
        <v>25</v>
      </c>
      <c r="D104" s="716"/>
      <c r="E104" s="716"/>
      <c r="F104" s="716"/>
      <c r="G104" s="702"/>
      <c r="H104" s="702"/>
      <c r="I104" s="702"/>
      <c r="J104" s="265"/>
      <c r="K104" s="267"/>
      <c r="L104" s="16" t="str">
        <f t="shared" si="3"/>
        <v/>
      </c>
    </row>
    <row r="105" spans="3:13" hidden="1" outlineLevel="1" x14ac:dyDescent="0.3">
      <c r="C105" s="231">
        <v>26</v>
      </c>
      <c r="D105" s="716"/>
      <c r="E105" s="716"/>
      <c r="F105" s="716"/>
      <c r="G105" s="702"/>
      <c r="H105" s="702"/>
      <c r="I105" s="702"/>
      <c r="J105" s="265"/>
      <c r="K105" s="267"/>
      <c r="L105" s="16" t="str">
        <f t="shared" si="3"/>
        <v/>
      </c>
    </row>
    <row r="106" spans="3:13" hidden="1" outlineLevel="1" x14ac:dyDescent="0.3">
      <c r="C106" s="231">
        <v>27</v>
      </c>
      <c r="D106" s="716"/>
      <c r="E106" s="716"/>
      <c r="F106" s="716"/>
      <c r="G106" s="702"/>
      <c r="H106" s="702"/>
      <c r="I106" s="702"/>
      <c r="J106" s="265"/>
      <c r="K106" s="267"/>
      <c r="L106" s="16" t="str">
        <f t="shared" si="3"/>
        <v/>
      </c>
    </row>
    <row r="107" spans="3:13" hidden="1" outlineLevel="1" x14ac:dyDescent="0.3">
      <c r="C107" s="231">
        <v>28</v>
      </c>
      <c r="D107" s="716"/>
      <c r="E107" s="716"/>
      <c r="F107" s="716"/>
      <c r="G107" s="702"/>
      <c r="H107" s="702"/>
      <c r="I107" s="702"/>
      <c r="J107" s="265"/>
      <c r="K107" s="267"/>
      <c r="L107" s="16" t="str">
        <f t="shared" si="3"/>
        <v/>
      </c>
    </row>
    <row r="108" spans="3:13" hidden="1" outlineLevel="1" x14ac:dyDescent="0.3">
      <c r="C108" s="231">
        <v>29</v>
      </c>
      <c r="D108" s="716"/>
      <c r="E108" s="716"/>
      <c r="F108" s="716"/>
      <c r="G108" s="702"/>
      <c r="H108" s="702"/>
      <c r="I108" s="702"/>
      <c r="J108" s="265"/>
      <c r="K108" s="267"/>
      <c r="L108" s="16" t="str">
        <f t="shared" si="3"/>
        <v/>
      </c>
      <c r="M108" s="118"/>
    </row>
    <row r="109" spans="3:13" hidden="1" outlineLevel="1" x14ac:dyDescent="0.3">
      <c r="C109" s="231">
        <v>30</v>
      </c>
      <c r="D109" s="716"/>
      <c r="E109" s="716"/>
      <c r="F109" s="716"/>
      <c r="G109" s="702"/>
      <c r="H109" s="702"/>
      <c r="I109" s="702"/>
      <c r="J109" s="265"/>
      <c r="K109" s="267"/>
      <c r="L109" s="16" t="str">
        <f t="shared" si="3"/>
        <v/>
      </c>
    </row>
    <row r="110" spans="3:13" hidden="1" outlineLevel="1" x14ac:dyDescent="0.3">
      <c r="C110" s="231">
        <v>31</v>
      </c>
      <c r="D110" s="716"/>
      <c r="E110" s="716"/>
      <c r="F110" s="716"/>
      <c r="G110" s="702"/>
      <c r="H110" s="702"/>
      <c r="I110" s="702"/>
      <c r="J110" s="265"/>
      <c r="K110" s="267"/>
      <c r="L110" s="16" t="str">
        <f t="shared" si="3"/>
        <v/>
      </c>
    </row>
    <row r="111" spans="3:13" hidden="1" outlineLevel="1" x14ac:dyDescent="0.3">
      <c r="C111" s="231">
        <v>32</v>
      </c>
      <c r="D111" s="716"/>
      <c r="E111" s="716"/>
      <c r="F111" s="716"/>
      <c r="G111" s="702"/>
      <c r="H111" s="702"/>
      <c r="I111" s="702"/>
      <c r="J111" s="265"/>
      <c r="K111" s="267"/>
      <c r="L111" s="16" t="str">
        <f t="shared" si="3"/>
        <v/>
      </c>
    </row>
    <row r="112" spans="3:13" hidden="1" outlineLevel="1" x14ac:dyDescent="0.3">
      <c r="C112" s="231">
        <v>33</v>
      </c>
      <c r="D112" s="716"/>
      <c r="E112" s="716"/>
      <c r="F112" s="716"/>
      <c r="G112" s="702"/>
      <c r="H112" s="702"/>
      <c r="I112" s="702"/>
      <c r="J112" s="265"/>
      <c r="K112" s="267"/>
      <c r="L112" s="16" t="str">
        <f t="shared" si="3"/>
        <v/>
      </c>
    </row>
    <row r="113" spans="3:12" hidden="1" outlineLevel="1" x14ac:dyDescent="0.3">
      <c r="C113" s="231">
        <v>34</v>
      </c>
      <c r="D113" s="716"/>
      <c r="E113" s="716"/>
      <c r="F113" s="716"/>
      <c r="G113" s="702"/>
      <c r="H113" s="702"/>
      <c r="I113" s="702"/>
      <c r="J113" s="265"/>
      <c r="K113" s="267"/>
      <c r="L113" s="16" t="str">
        <f t="shared" si="3"/>
        <v/>
      </c>
    </row>
    <row r="114" spans="3:12" hidden="1" outlineLevel="1" x14ac:dyDescent="0.3">
      <c r="C114" s="231">
        <v>35</v>
      </c>
      <c r="D114" s="716"/>
      <c r="E114" s="716"/>
      <c r="F114" s="716"/>
      <c r="G114" s="702"/>
      <c r="H114" s="702"/>
      <c r="I114" s="702"/>
      <c r="J114" s="265"/>
      <c r="K114" s="267"/>
      <c r="L114" s="16" t="str">
        <f t="shared" si="3"/>
        <v/>
      </c>
    </row>
    <row r="115" spans="3:12" hidden="1" outlineLevel="1" x14ac:dyDescent="0.3">
      <c r="C115" s="231">
        <v>36</v>
      </c>
      <c r="D115" s="716"/>
      <c r="E115" s="716"/>
      <c r="F115" s="716"/>
      <c r="G115" s="702"/>
      <c r="H115" s="702"/>
      <c r="I115" s="702"/>
      <c r="J115" s="265"/>
      <c r="K115" s="267"/>
      <c r="L115" s="16" t="str">
        <f t="shared" si="3"/>
        <v/>
      </c>
    </row>
    <row r="116" spans="3:12" hidden="1" outlineLevel="1" x14ac:dyDescent="0.3">
      <c r="C116" s="231">
        <v>37</v>
      </c>
      <c r="D116" s="716"/>
      <c r="E116" s="716"/>
      <c r="F116" s="716"/>
      <c r="G116" s="702"/>
      <c r="H116" s="702"/>
      <c r="I116" s="702"/>
      <c r="J116" s="265"/>
      <c r="K116" s="267"/>
      <c r="L116" s="16" t="str">
        <f t="shared" si="3"/>
        <v/>
      </c>
    </row>
    <row r="117" spans="3:12" hidden="1" outlineLevel="1" x14ac:dyDescent="0.3">
      <c r="C117" s="231">
        <v>38</v>
      </c>
      <c r="D117" s="716"/>
      <c r="E117" s="716"/>
      <c r="F117" s="716"/>
      <c r="G117" s="702"/>
      <c r="H117" s="702"/>
      <c r="I117" s="702"/>
      <c r="J117" s="265"/>
      <c r="K117" s="267"/>
      <c r="L117" s="16" t="str">
        <f t="shared" si="3"/>
        <v/>
      </c>
    </row>
    <row r="118" spans="3:12" hidden="1" outlineLevel="1" x14ac:dyDescent="0.3">
      <c r="C118" s="231">
        <v>39</v>
      </c>
      <c r="D118" s="716"/>
      <c r="E118" s="716"/>
      <c r="F118" s="716"/>
      <c r="G118" s="702"/>
      <c r="H118" s="702"/>
      <c r="I118" s="702"/>
      <c r="J118" s="265"/>
      <c r="K118" s="267"/>
      <c r="L118" s="16" t="str">
        <f t="shared" si="3"/>
        <v/>
      </c>
    </row>
    <row r="119" spans="3:12" hidden="1" outlineLevel="1" x14ac:dyDescent="0.3">
      <c r="C119" s="231">
        <v>40</v>
      </c>
      <c r="D119" s="716"/>
      <c r="E119" s="716"/>
      <c r="F119" s="716"/>
      <c r="G119" s="702"/>
      <c r="H119" s="702"/>
      <c r="I119" s="702"/>
      <c r="J119" s="265"/>
      <c r="K119" s="267"/>
      <c r="L119" s="16" t="str">
        <f t="shared" si="3"/>
        <v/>
      </c>
    </row>
    <row r="120" spans="3:12" hidden="1" outlineLevel="1" x14ac:dyDescent="0.3">
      <c r="C120" s="231">
        <v>41</v>
      </c>
      <c r="D120" s="716"/>
      <c r="E120" s="716"/>
      <c r="F120" s="716"/>
      <c r="G120" s="702"/>
      <c r="H120" s="702"/>
      <c r="I120" s="702"/>
      <c r="J120" s="265"/>
      <c r="K120" s="267"/>
      <c r="L120" s="16" t="str">
        <f t="shared" si="3"/>
        <v/>
      </c>
    </row>
    <row r="121" spans="3:12" hidden="1" outlineLevel="1" x14ac:dyDescent="0.3">
      <c r="C121" s="231">
        <v>42</v>
      </c>
      <c r="D121" s="716"/>
      <c r="E121" s="716"/>
      <c r="F121" s="716"/>
      <c r="G121" s="702"/>
      <c r="H121" s="702"/>
      <c r="I121" s="702"/>
      <c r="J121" s="265"/>
      <c r="K121" s="267"/>
      <c r="L121" s="16" t="str">
        <f t="shared" si="3"/>
        <v/>
      </c>
    </row>
    <row r="122" spans="3:12" hidden="1" outlineLevel="1" x14ac:dyDescent="0.3">
      <c r="C122" s="231">
        <v>43</v>
      </c>
      <c r="D122" s="716"/>
      <c r="E122" s="716"/>
      <c r="F122" s="716"/>
      <c r="G122" s="702"/>
      <c r="H122" s="702"/>
      <c r="I122" s="702"/>
      <c r="J122" s="265"/>
      <c r="K122" s="267"/>
      <c r="L122" s="16" t="str">
        <f t="shared" si="3"/>
        <v/>
      </c>
    </row>
    <row r="123" spans="3:12" hidden="1" outlineLevel="1" x14ac:dyDescent="0.3">
      <c r="C123" s="231">
        <v>44</v>
      </c>
      <c r="D123" s="716"/>
      <c r="E123" s="716"/>
      <c r="F123" s="716"/>
      <c r="G123" s="702"/>
      <c r="H123" s="702"/>
      <c r="I123" s="702"/>
      <c r="J123" s="265"/>
      <c r="K123" s="267"/>
      <c r="L123" s="16" t="str">
        <f t="shared" si="3"/>
        <v/>
      </c>
    </row>
    <row r="124" spans="3:12" hidden="1" outlineLevel="1" x14ac:dyDescent="0.3">
      <c r="C124" s="231">
        <v>45</v>
      </c>
      <c r="D124" s="716"/>
      <c r="E124" s="716"/>
      <c r="F124" s="716"/>
      <c r="G124" s="702"/>
      <c r="H124" s="702"/>
      <c r="I124" s="702"/>
      <c r="J124" s="265"/>
      <c r="K124" s="267"/>
      <c r="L124" s="16" t="str">
        <f t="shared" si="3"/>
        <v/>
      </c>
    </row>
    <row r="125" spans="3:12" hidden="1" outlineLevel="1" x14ac:dyDescent="0.3">
      <c r="C125" s="231">
        <v>46</v>
      </c>
      <c r="D125" s="716"/>
      <c r="E125" s="716"/>
      <c r="F125" s="716"/>
      <c r="G125" s="702"/>
      <c r="H125" s="702"/>
      <c r="I125" s="702"/>
      <c r="J125" s="265"/>
      <c r="K125" s="267"/>
      <c r="L125" s="16" t="str">
        <f t="shared" si="3"/>
        <v/>
      </c>
    </row>
    <row r="126" spans="3:12" hidden="1" outlineLevel="1" x14ac:dyDescent="0.3">
      <c r="C126" s="231">
        <v>47</v>
      </c>
      <c r="D126" s="716"/>
      <c r="E126" s="716"/>
      <c r="F126" s="716"/>
      <c r="G126" s="702"/>
      <c r="H126" s="702"/>
      <c r="I126" s="702"/>
      <c r="J126" s="265"/>
      <c r="K126" s="267"/>
      <c r="L126" s="16" t="str">
        <f t="shared" si="3"/>
        <v/>
      </c>
    </row>
    <row r="127" spans="3:12" hidden="1" outlineLevel="1" x14ac:dyDescent="0.3">
      <c r="C127" s="231">
        <v>48</v>
      </c>
      <c r="D127" s="716"/>
      <c r="E127" s="716"/>
      <c r="F127" s="716"/>
      <c r="G127" s="702"/>
      <c r="H127" s="702"/>
      <c r="I127" s="702"/>
      <c r="J127" s="265"/>
      <c r="K127" s="267"/>
      <c r="L127" s="16" t="str">
        <f t="shared" si="3"/>
        <v/>
      </c>
    </row>
    <row r="128" spans="3:12" hidden="1" outlineLevel="1" x14ac:dyDescent="0.3">
      <c r="C128" s="231">
        <v>49</v>
      </c>
      <c r="D128" s="716"/>
      <c r="E128" s="716"/>
      <c r="F128" s="716"/>
      <c r="G128" s="702"/>
      <c r="H128" s="702"/>
      <c r="I128" s="702"/>
      <c r="J128" s="265"/>
      <c r="K128" s="267"/>
      <c r="L128" s="16" t="str">
        <f t="shared" si="3"/>
        <v/>
      </c>
    </row>
    <row r="129" spans="3:12" hidden="1" outlineLevel="1" x14ac:dyDescent="0.3">
      <c r="C129" s="231">
        <v>50</v>
      </c>
      <c r="D129" s="716"/>
      <c r="E129" s="716"/>
      <c r="F129" s="716"/>
      <c r="G129" s="702"/>
      <c r="H129" s="702"/>
      <c r="I129" s="702"/>
      <c r="J129" s="265"/>
      <c r="K129" s="267"/>
      <c r="L129" s="16" t="str">
        <f t="shared" si="3"/>
        <v/>
      </c>
    </row>
    <row r="130" spans="3:12" hidden="1" outlineLevel="1" x14ac:dyDescent="0.3">
      <c r="C130" s="231">
        <v>51</v>
      </c>
      <c r="D130" s="716"/>
      <c r="E130" s="716"/>
      <c r="F130" s="716"/>
      <c r="G130" s="702"/>
      <c r="H130" s="702"/>
      <c r="I130" s="702"/>
      <c r="J130" s="265"/>
      <c r="K130" s="267"/>
      <c r="L130" s="16" t="str">
        <f t="shared" si="3"/>
        <v/>
      </c>
    </row>
    <row r="131" spans="3:12" hidden="1" outlineLevel="1" x14ac:dyDescent="0.3">
      <c r="C131" s="231">
        <v>52</v>
      </c>
      <c r="D131" s="716"/>
      <c r="E131" s="716"/>
      <c r="F131" s="716"/>
      <c r="G131" s="702"/>
      <c r="H131" s="702"/>
      <c r="I131" s="702"/>
      <c r="J131" s="265"/>
      <c r="K131" s="267"/>
      <c r="L131" s="16" t="str">
        <f t="shared" si="3"/>
        <v/>
      </c>
    </row>
    <row r="132" spans="3:12" hidden="1" outlineLevel="1" x14ac:dyDescent="0.3">
      <c r="C132" s="231">
        <v>53</v>
      </c>
      <c r="D132" s="716"/>
      <c r="E132" s="716"/>
      <c r="F132" s="716"/>
      <c r="G132" s="702"/>
      <c r="H132" s="702"/>
      <c r="I132" s="702"/>
      <c r="J132" s="265"/>
      <c r="K132" s="267"/>
      <c r="L132" s="16" t="str">
        <f t="shared" si="3"/>
        <v/>
      </c>
    </row>
    <row r="133" spans="3:12" hidden="1" outlineLevel="1" x14ac:dyDescent="0.3">
      <c r="C133" s="231">
        <v>54</v>
      </c>
      <c r="D133" s="716"/>
      <c r="E133" s="716"/>
      <c r="F133" s="716"/>
      <c r="G133" s="702"/>
      <c r="H133" s="702"/>
      <c r="I133" s="702"/>
      <c r="J133" s="265"/>
      <c r="K133" s="267"/>
      <c r="L133" s="16" t="str">
        <f t="shared" si="3"/>
        <v/>
      </c>
    </row>
    <row r="134" spans="3:12" hidden="1" outlineLevel="1" x14ac:dyDescent="0.3">
      <c r="C134" s="231">
        <v>55</v>
      </c>
      <c r="D134" s="716"/>
      <c r="E134" s="716"/>
      <c r="F134" s="716"/>
      <c r="G134" s="702"/>
      <c r="H134" s="702"/>
      <c r="I134" s="702"/>
      <c r="J134" s="265"/>
      <c r="K134" s="267"/>
      <c r="L134" s="16" t="str">
        <f t="shared" si="3"/>
        <v/>
      </c>
    </row>
    <row r="135" spans="3:12" hidden="1" outlineLevel="1" x14ac:dyDescent="0.3">
      <c r="C135" s="231">
        <v>56</v>
      </c>
      <c r="D135" s="716"/>
      <c r="E135" s="716"/>
      <c r="F135" s="716"/>
      <c r="G135" s="702"/>
      <c r="H135" s="702"/>
      <c r="I135" s="702"/>
      <c r="J135" s="265"/>
      <c r="K135" s="267"/>
      <c r="L135" s="16" t="str">
        <f t="shared" si="3"/>
        <v/>
      </c>
    </row>
    <row r="136" spans="3:12" hidden="1" outlineLevel="1" x14ac:dyDescent="0.3">
      <c r="C136" s="231">
        <v>57</v>
      </c>
      <c r="D136" s="716"/>
      <c r="E136" s="716"/>
      <c r="F136" s="716"/>
      <c r="G136" s="702"/>
      <c r="H136" s="702"/>
      <c r="I136" s="702"/>
      <c r="J136" s="265"/>
      <c r="K136" s="267"/>
      <c r="L136" s="16" t="str">
        <f t="shared" si="3"/>
        <v/>
      </c>
    </row>
    <row r="137" spans="3:12" hidden="1" outlineLevel="1" x14ac:dyDescent="0.3">
      <c r="C137" s="231">
        <v>58</v>
      </c>
      <c r="D137" s="716"/>
      <c r="E137" s="716"/>
      <c r="F137" s="716"/>
      <c r="G137" s="702"/>
      <c r="H137" s="702"/>
      <c r="I137" s="702"/>
      <c r="J137" s="265"/>
      <c r="K137" s="267"/>
      <c r="L137" s="16" t="str">
        <f t="shared" si="3"/>
        <v/>
      </c>
    </row>
    <row r="138" spans="3:12" hidden="1" outlineLevel="1" x14ac:dyDescent="0.3">
      <c r="C138" s="231">
        <v>59</v>
      </c>
      <c r="D138" s="716"/>
      <c r="E138" s="716"/>
      <c r="F138" s="716"/>
      <c r="G138" s="702"/>
      <c r="H138" s="702"/>
      <c r="I138" s="702"/>
      <c r="J138" s="265"/>
      <c r="K138" s="267"/>
      <c r="L138" s="16" t="str">
        <f t="shared" si="3"/>
        <v/>
      </c>
    </row>
    <row r="139" spans="3:12" hidden="1" outlineLevel="1" x14ac:dyDescent="0.3">
      <c r="C139" s="231">
        <v>60</v>
      </c>
      <c r="D139" s="716"/>
      <c r="E139" s="716"/>
      <c r="F139" s="716"/>
      <c r="G139" s="702"/>
      <c r="H139" s="702"/>
      <c r="I139" s="702"/>
      <c r="J139" s="265"/>
      <c r="K139" s="267"/>
      <c r="L139" s="16" t="str">
        <f t="shared" si="3"/>
        <v/>
      </c>
    </row>
    <row r="140" spans="3:12" hidden="1" outlineLevel="1" x14ac:dyDescent="0.3">
      <c r="C140" s="231">
        <v>61</v>
      </c>
      <c r="D140" s="716"/>
      <c r="E140" s="716"/>
      <c r="F140" s="716"/>
      <c r="G140" s="702"/>
      <c r="H140" s="702"/>
      <c r="I140" s="702"/>
      <c r="J140" s="265"/>
      <c r="K140" s="267"/>
      <c r="L140" s="16" t="str">
        <f t="shared" si="3"/>
        <v/>
      </c>
    </row>
    <row r="141" spans="3:12" hidden="1" outlineLevel="1" x14ac:dyDescent="0.3">
      <c r="C141" s="231">
        <v>62</v>
      </c>
      <c r="D141" s="716"/>
      <c r="E141" s="716"/>
      <c r="F141" s="716"/>
      <c r="G141" s="702"/>
      <c r="H141" s="702"/>
      <c r="I141" s="702"/>
      <c r="J141" s="265"/>
      <c r="K141" s="267"/>
      <c r="L141" s="16" t="str">
        <f t="shared" si="3"/>
        <v/>
      </c>
    </row>
    <row r="142" spans="3:12" hidden="1" outlineLevel="1" x14ac:dyDescent="0.3">
      <c r="C142" s="231">
        <v>63</v>
      </c>
      <c r="D142" s="716"/>
      <c r="E142" s="716"/>
      <c r="F142" s="716"/>
      <c r="G142" s="702"/>
      <c r="H142" s="702"/>
      <c r="I142" s="702"/>
      <c r="J142" s="265"/>
      <c r="K142" s="267"/>
      <c r="L142" s="16" t="str">
        <f t="shared" si="3"/>
        <v/>
      </c>
    </row>
    <row r="143" spans="3:12" hidden="1" outlineLevel="1" x14ac:dyDescent="0.3">
      <c r="C143" s="231">
        <v>64</v>
      </c>
      <c r="D143" s="716"/>
      <c r="E143" s="716"/>
      <c r="F143" s="716"/>
      <c r="G143" s="702"/>
      <c r="H143" s="702"/>
      <c r="I143" s="702"/>
      <c r="J143" s="265"/>
      <c r="K143" s="267"/>
      <c r="L143" s="16" t="str">
        <f t="shared" si="3"/>
        <v/>
      </c>
    </row>
    <row r="144" spans="3:12" hidden="1" outlineLevel="1" x14ac:dyDescent="0.3">
      <c r="C144" s="231">
        <v>65</v>
      </c>
      <c r="D144" s="716"/>
      <c r="E144" s="716"/>
      <c r="F144" s="716"/>
      <c r="G144" s="702"/>
      <c r="H144" s="702"/>
      <c r="I144" s="702"/>
      <c r="J144" s="265"/>
      <c r="K144" s="267"/>
      <c r="L144" s="16" t="str">
        <f t="shared" si="3"/>
        <v/>
      </c>
    </row>
    <row r="145" spans="3:12" hidden="1" outlineLevel="1" x14ac:dyDescent="0.3">
      <c r="C145" s="231">
        <v>66</v>
      </c>
      <c r="D145" s="716"/>
      <c r="E145" s="716"/>
      <c r="F145" s="716"/>
      <c r="G145" s="702"/>
      <c r="H145" s="702"/>
      <c r="I145" s="702"/>
      <c r="J145" s="265"/>
      <c r="K145" s="267"/>
      <c r="L145" s="16" t="str">
        <f t="shared" si="3"/>
        <v/>
      </c>
    </row>
    <row r="146" spans="3:12" hidden="1" outlineLevel="1" x14ac:dyDescent="0.3">
      <c r="C146" s="231">
        <v>67</v>
      </c>
      <c r="D146" s="716"/>
      <c r="E146" s="716"/>
      <c r="F146" s="716"/>
      <c r="G146" s="702"/>
      <c r="H146" s="702"/>
      <c r="I146" s="702"/>
      <c r="J146" s="265"/>
      <c r="K146" s="267"/>
      <c r="L146" s="16" t="str">
        <f t="shared" si="3"/>
        <v/>
      </c>
    </row>
    <row r="147" spans="3:12" hidden="1" outlineLevel="1" x14ac:dyDescent="0.3">
      <c r="C147" s="231">
        <v>68</v>
      </c>
      <c r="D147" s="716"/>
      <c r="E147" s="716"/>
      <c r="F147" s="716"/>
      <c r="G147" s="702"/>
      <c r="H147" s="702"/>
      <c r="I147" s="702"/>
      <c r="J147" s="265"/>
      <c r="K147" s="267"/>
      <c r="L147" s="16" t="str">
        <f t="shared" si="3"/>
        <v/>
      </c>
    </row>
    <row r="148" spans="3:12" hidden="1" outlineLevel="1" x14ac:dyDescent="0.3">
      <c r="C148" s="231">
        <v>69</v>
      </c>
      <c r="D148" s="716"/>
      <c r="E148" s="716"/>
      <c r="F148" s="716"/>
      <c r="G148" s="702"/>
      <c r="H148" s="702"/>
      <c r="I148" s="702"/>
      <c r="J148" s="265"/>
      <c r="K148" s="267"/>
      <c r="L148" s="16" t="str">
        <f t="shared" si="3"/>
        <v/>
      </c>
    </row>
    <row r="149" spans="3:12" hidden="1" outlineLevel="1" x14ac:dyDescent="0.3">
      <c r="C149" s="231">
        <v>70</v>
      </c>
      <c r="D149" s="716"/>
      <c r="E149" s="716"/>
      <c r="F149" s="716"/>
      <c r="G149" s="702"/>
      <c r="H149" s="702"/>
      <c r="I149" s="702"/>
      <c r="J149" s="265"/>
      <c r="K149" s="267"/>
      <c r="L149" s="16" t="str">
        <f t="shared" si="3"/>
        <v/>
      </c>
    </row>
    <row r="150" spans="3:12" hidden="1" outlineLevel="1" x14ac:dyDescent="0.3">
      <c r="C150" s="231">
        <v>71</v>
      </c>
      <c r="D150" s="716"/>
      <c r="E150" s="716"/>
      <c r="F150" s="716"/>
      <c r="G150" s="702"/>
      <c r="H150" s="702"/>
      <c r="I150" s="702"/>
      <c r="J150" s="265"/>
      <c r="K150" s="267"/>
      <c r="L150" s="16" t="str">
        <f t="shared" si="3"/>
        <v/>
      </c>
    </row>
    <row r="151" spans="3:12" hidden="1" outlineLevel="1" x14ac:dyDescent="0.3">
      <c r="C151" s="231">
        <v>72</v>
      </c>
      <c r="D151" s="716"/>
      <c r="E151" s="716"/>
      <c r="F151" s="716"/>
      <c r="G151" s="702"/>
      <c r="H151" s="702"/>
      <c r="I151" s="702"/>
      <c r="J151" s="265"/>
      <c r="K151" s="267"/>
      <c r="L151" s="16" t="str">
        <f t="shared" si="3"/>
        <v/>
      </c>
    </row>
    <row r="152" spans="3:12" hidden="1" outlineLevel="1" x14ac:dyDescent="0.3">
      <c r="C152" s="231">
        <v>73</v>
      </c>
      <c r="D152" s="716"/>
      <c r="E152" s="716"/>
      <c r="F152" s="716"/>
      <c r="G152" s="702"/>
      <c r="H152" s="702"/>
      <c r="I152" s="702"/>
      <c r="J152" s="265"/>
      <c r="K152" s="267"/>
      <c r="L152" s="16" t="str">
        <f t="shared" si="3"/>
        <v/>
      </c>
    </row>
    <row r="153" spans="3:12" hidden="1" outlineLevel="1" x14ac:dyDescent="0.3">
      <c r="C153" s="231">
        <v>74</v>
      </c>
      <c r="D153" s="716"/>
      <c r="E153" s="716"/>
      <c r="F153" s="716"/>
      <c r="G153" s="702"/>
      <c r="H153" s="702"/>
      <c r="I153" s="702"/>
      <c r="J153" s="265"/>
      <c r="K153" s="267"/>
      <c r="L153" s="16" t="str">
        <f t="shared" si="3"/>
        <v/>
      </c>
    </row>
    <row r="154" spans="3:12" hidden="1" outlineLevel="1" x14ac:dyDescent="0.3">
      <c r="C154" s="231">
        <v>75</v>
      </c>
      <c r="D154" s="716"/>
      <c r="E154" s="716"/>
      <c r="F154" s="716"/>
      <c r="G154" s="702"/>
      <c r="H154" s="702"/>
      <c r="I154" s="702"/>
      <c r="J154" s="265"/>
      <c r="K154" s="267"/>
      <c r="L154" s="16" t="str">
        <f t="shared" si="3"/>
        <v/>
      </c>
    </row>
    <row r="155" spans="3:12" hidden="1" outlineLevel="1" x14ac:dyDescent="0.3">
      <c r="C155" s="231">
        <v>76</v>
      </c>
      <c r="D155" s="716"/>
      <c r="E155" s="716"/>
      <c r="F155" s="716"/>
      <c r="G155" s="702"/>
      <c r="H155" s="702"/>
      <c r="I155" s="702"/>
      <c r="J155" s="265"/>
      <c r="K155" s="267"/>
      <c r="L155" s="16" t="str">
        <f t="shared" si="3"/>
        <v/>
      </c>
    </row>
    <row r="156" spans="3:12" hidden="1" outlineLevel="1" x14ac:dyDescent="0.3">
      <c r="C156" s="231">
        <v>77</v>
      </c>
      <c r="D156" s="716"/>
      <c r="E156" s="716"/>
      <c r="F156" s="716"/>
      <c r="G156" s="702"/>
      <c r="H156" s="702"/>
      <c r="I156" s="702"/>
      <c r="J156" s="265"/>
      <c r="K156" s="267"/>
      <c r="L156" s="16" t="str">
        <f t="shared" si="3"/>
        <v/>
      </c>
    </row>
    <row r="157" spans="3:12" hidden="1" outlineLevel="1" x14ac:dyDescent="0.3">
      <c r="C157" s="231">
        <v>78</v>
      </c>
      <c r="D157" s="716"/>
      <c r="E157" s="716"/>
      <c r="F157" s="716"/>
      <c r="G157" s="702"/>
      <c r="H157" s="702"/>
      <c r="I157" s="702"/>
      <c r="J157" s="265"/>
      <c r="K157" s="267"/>
      <c r="L157" s="16" t="str">
        <f t="shared" si="3"/>
        <v/>
      </c>
    </row>
    <row r="158" spans="3:12" hidden="1" outlineLevel="1" x14ac:dyDescent="0.3">
      <c r="C158" s="231">
        <v>79</v>
      </c>
      <c r="D158" s="716"/>
      <c r="E158" s="716"/>
      <c r="F158" s="716"/>
      <c r="G158" s="702"/>
      <c r="H158" s="702"/>
      <c r="I158" s="702"/>
      <c r="J158" s="265"/>
      <c r="K158" s="267"/>
      <c r="L158" s="16" t="str">
        <f t="shared" si="3"/>
        <v/>
      </c>
    </row>
    <row r="159" spans="3:12" hidden="1" outlineLevel="1" x14ac:dyDescent="0.3">
      <c r="C159" s="231">
        <v>80</v>
      </c>
      <c r="D159" s="716"/>
      <c r="E159" s="716"/>
      <c r="F159" s="716"/>
      <c r="G159" s="702"/>
      <c r="H159" s="702"/>
      <c r="I159" s="702"/>
      <c r="J159" s="265"/>
      <c r="K159" s="267"/>
      <c r="L159" s="16" t="str">
        <f t="shared" si="3"/>
        <v/>
      </c>
    </row>
    <row r="160" spans="3:12" hidden="1" outlineLevel="1" x14ac:dyDescent="0.3">
      <c r="C160" s="231">
        <v>81</v>
      </c>
      <c r="D160" s="716"/>
      <c r="E160" s="716"/>
      <c r="F160" s="716"/>
      <c r="G160" s="702"/>
      <c r="H160" s="702"/>
      <c r="I160" s="702"/>
      <c r="J160" s="265"/>
      <c r="K160" s="267"/>
      <c r="L160" s="16" t="str">
        <f t="shared" si="3"/>
        <v/>
      </c>
    </row>
    <row r="161" spans="3:12" hidden="1" outlineLevel="1" x14ac:dyDescent="0.3">
      <c r="C161" s="231">
        <v>82</v>
      </c>
      <c r="D161" s="716"/>
      <c r="E161" s="716"/>
      <c r="F161" s="716"/>
      <c r="G161" s="702"/>
      <c r="H161" s="702"/>
      <c r="I161" s="702"/>
      <c r="J161" s="265"/>
      <c r="K161" s="267"/>
      <c r="L161" s="16" t="str">
        <f t="shared" si="3"/>
        <v/>
      </c>
    </row>
    <row r="162" spans="3:12" hidden="1" outlineLevel="1" x14ac:dyDescent="0.3">
      <c r="C162" s="231">
        <v>83</v>
      </c>
      <c r="D162" s="716"/>
      <c r="E162" s="716"/>
      <c r="F162" s="716"/>
      <c r="G162" s="702"/>
      <c r="H162" s="702"/>
      <c r="I162" s="702"/>
      <c r="J162" s="265"/>
      <c r="K162" s="267"/>
      <c r="L162" s="16" t="str">
        <f t="shared" si="3"/>
        <v/>
      </c>
    </row>
    <row r="163" spans="3:12" hidden="1" outlineLevel="1" x14ac:dyDescent="0.3">
      <c r="C163" s="231">
        <v>84</v>
      </c>
      <c r="D163" s="716"/>
      <c r="E163" s="716"/>
      <c r="F163" s="716"/>
      <c r="G163" s="702"/>
      <c r="H163" s="702"/>
      <c r="I163" s="702"/>
      <c r="J163" s="265"/>
      <c r="K163" s="267"/>
      <c r="L163" s="16" t="str">
        <f t="shared" si="3"/>
        <v/>
      </c>
    </row>
    <row r="164" spans="3:12" hidden="1" outlineLevel="1" x14ac:dyDescent="0.3">
      <c r="C164" s="231">
        <v>85</v>
      </c>
      <c r="D164" s="716"/>
      <c r="E164" s="716"/>
      <c r="F164" s="716"/>
      <c r="G164" s="702"/>
      <c r="H164" s="702"/>
      <c r="I164" s="702"/>
      <c r="J164" s="265"/>
      <c r="K164" s="267"/>
      <c r="L164" s="16" t="str">
        <f t="shared" si="3"/>
        <v/>
      </c>
    </row>
    <row r="165" spans="3:12" hidden="1" outlineLevel="1" x14ac:dyDescent="0.3">
      <c r="C165" s="231">
        <v>86</v>
      </c>
      <c r="D165" s="716"/>
      <c r="E165" s="716"/>
      <c r="F165" s="716"/>
      <c r="G165" s="702"/>
      <c r="H165" s="702"/>
      <c r="I165" s="702"/>
      <c r="J165" s="265"/>
      <c r="K165" s="267"/>
      <c r="L165" s="16" t="str">
        <f t="shared" si="3"/>
        <v/>
      </c>
    </row>
    <row r="166" spans="3:12" hidden="1" outlineLevel="1" x14ac:dyDescent="0.3">
      <c r="C166" s="231">
        <v>87</v>
      </c>
      <c r="D166" s="716"/>
      <c r="E166" s="716"/>
      <c r="F166" s="716"/>
      <c r="G166" s="702"/>
      <c r="H166" s="702"/>
      <c r="I166" s="702"/>
      <c r="J166" s="265"/>
      <c r="K166" s="267"/>
      <c r="L166" s="16" t="str">
        <f t="shared" si="3"/>
        <v/>
      </c>
    </row>
    <row r="167" spans="3:12" hidden="1" outlineLevel="1" x14ac:dyDescent="0.3">
      <c r="C167" s="231">
        <v>88</v>
      </c>
      <c r="D167" s="716"/>
      <c r="E167" s="716"/>
      <c r="F167" s="716"/>
      <c r="G167" s="702"/>
      <c r="H167" s="702"/>
      <c r="I167" s="702"/>
      <c r="J167" s="265"/>
      <c r="K167" s="267"/>
      <c r="L167" s="16" t="str">
        <f t="shared" si="3"/>
        <v/>
      </c>
    </row>
    <row r="168" spans="3:12" hidden="1" outlineLevel="1" x14ac:dyDescent="0.3">
      <c r="C168" s="231">
        <v>89</v>
      </c>
      <c r="D168" s="716"/>
      <c r="E168" s="716"/>
      <c r="F168" s="716"/>
      <c r="G168" s="702"/>
      <c r="H168" s="702"/>
      <c r="I168" s="702"/>
      <c r="J168" s="265"/>
      <c r="K168" s="267"/>
      <c r="L168" s="16" t="str">
        <f t="shared" si="3"/>
        <v/>
      </c>
    </row>
    <row r="169" spans="3:12" hidden="1" outlineLevel="1" x14ac:dyDescent="0.3">
      <c r="C169" s="231">
        <v>90</v>
      </c>
      <c r="D169" s="716"/>
      <c r="E169" s="716"/>
      <c r="F169" s="716"/>
      <c r="G169" s="702"/>
      <c r="H169" s="702"/>
      <c r="I169" s="702"/>
      <c r="J169" s="265"/>
      <c r="K169" s="267"/>
      <c r="L169" s="16" t="str">
        <f t="shared" si="3"/>
        <v/>
      </c>
    </row>
    <row r="170" spans="3:12" hidden="1" outlineLevel="1" x14ac:dyDescent="0.3">
      <c r="C170" s="231">
        <v>91</v>
      </c>
      <c r="D170" s="716"/>
      <c r="E170" s="716"/>
      <c r="F170" s="716"/>
      <c r="G170" s="702"/>
      <c r="H170" s="702"/>
      <c r="I170" s="702"/>
      <c r="J170" s="265"/>
      <c r="K170" s="267"/>
      <c r="L170" s="16" t="str">
        <f t="shared" si="3"/>
        <v/>
      </c>
    </row>
    <row r="171" spans="3:12" hidden="1" outlineLevel="1" x14ac:dyDescent="0.3">
      <c r="C171" s="231">
        <v>92</v>
      </c>
      <c r="D171" s="716"/>
      <c r="E171" s="716"/>
      <c r="F171" s="716"/>
      <c r="G171" s="702"/>
      <c r="H171" s="702"/>
      <c r="I171" s="702"/>
      <c r="J171" s="265"/>
      <c r="K171" s="267"/>
      <c r="L171" s="16" t="str">
        <f t="shared" si="3"/>
        <v/>
      </c>
    </row>
    <row r="172" spans="3:12" hidden="1" outlineLevel="1" x14ac:dyDescent="0.3">
      <c r="C172" s="231">
        <v>93</v>
      </c>
      <c r="D172" s="716"/>
      <c r="E172" s="716"/>
      <c r="F172" s="716"/>
      <c r="G172" s="702"/>
      <c r="H172" s="702"/>
      <c r="I172" s="702"/>
      <c r="J172" s="265"/>
      <c r="K172" s="267"/>
      <c r="L172" s="16" t="str">
        <f t="shared" si="3"/>
        <v/>
      </c>
    </row>
    <row r="173" spans="3:12" hidden="1" outlineLevel="1" x14ac:dyDescent="0.3">
      <c r="C173" s="231">
        <v>94</v>
      </c>
      <c r="D173" s="716"/>
      <c r="E173" s="716"/>
      <c r="F173" s="716"/>
      <c r="G173" s="702"/>
      <c r="H173" s="702"/>
      <c r="I173" s="702"/>
      <c r="J173" s="265"/>
      <c r="K173" s="267"/>
      <c r="L173" s="16" t="str">
        <f t="shared" si="3"/>
        <v/>
      </c>
    </row>
    <row r="174" spans="3:12" hidden="1" outlineLevel="1" x14ac:dyDescent="0.3">
      <c r="C174" s="231">
        <v>95</v>
      </c>
      <c r="D174" s="716"/>
      <c r="E174" s="716"/>
      <c r="F174" s="716"/>
      <c r="G174" s="702"/>
      <c r="H174" s="702"/>
      <c r="I174" s="702"/>
      <c r="J174" s="265"/>
      <c r="K174" s="267"/>
      <c r="L174" s="16" t="str">
        <f t="shared" si="3"/>
        <v/>
      </c>
    </row>
    <row r="175" spans="3:12" hidden="1" outlineLevel="1" x14ac:dyDescent="0.3">
      <c r="C175" s="231">
        <v>96</v>
      </c>
      <c r="D175" s="716"/>
      <c r="E175" s="716"/>
      <c r="F175" s="716"/>
      <c r="G175" s="702"/>
      <c r="H175" s="702"/>
      <c r="I175" s="702"/>
      <c r="J175" s="265"/>
      <c r="K175" s="267"/>
      <c r="L175" s="16" t="str">
        <f t="shared" si="3"/>
        <v/>
      </c>
    </row>
    <row r="176" spans="3:12" hidden="1" outlineLevel="1" x14ac:dyDescent="0.3">
      <c r="C176" s="231">
        <v>97</v>
      </c>
      <c r="D176" s="716"/>
      <c r="E176" s="716"/>
      <c r="F176" s="716"/>
      <c r="G176" s="702"/>
      <c r="H176" s="702"/>
      <c r="I176" s="702"/>
      <c r="J176" s="265"/>
      <c r="K176" s="267"/>
      <c r="L176" s="16" t="str">
        <f t="shared" si="3"/>
        <v/>
      </c>
    </row>
    <row r="177" spans="3:17" hidden="1" outlineLevel="1" x14ac:dyDescent="0.3">
      <c r="C177" s="231">
        <v>98</v>
      </c>
      <c r="D177" s="716"/>
      <c r="E177" s="716"/>
      <c r="F177" s="716"/>
      <c r="G177" s="702"/>
      <c r="H177" s="702"/>
      <c r="I177" s="702"/>
      <c r="J177" s="265"/>
      <c r="K177" s="267"/>
      <c r="L177" s="16" t="str">
        <f t="shared" si="3"/>
        <v/>
      </c>
    </row>
    <row r="178" spans="3:17" hidden="1" outlineLevel="1" x14ac:dyDescent="0.3">
      <c r="C178" s="231">
        <v>99</v>
      </c>
      <c r="D178" s="716"/>
      <c r="E178" s="716"/>
      <c r="F178" s="716"/>
      <c r="G178" s="702"/>
      <c r="H178" s="702"/>
      <c r="I178" s="702"/>
      <c r="J178" s="265"/>
      <c r="K178" s="267"/>
      <c r="L178" s="16" t="str">
        <f t="shared" si="3"/>
        <v/>
      </c>
    </row>
    <row r="179" spans="3:17" ht="15" hidden="1" outlineLevel="1" thickBot="1" x14ac:dyDescent="0.35">
      <c r="C179" s="231">
        <v>100</v>
      </c>
      <c r="D179" s="716"/>
      <c r="E179" s="716"/>
      <c r="F179" s="716"/>
      <c r="G179" s="892"/>
      <c r="H179" s="892"/>
      <c r="I179" s="892"/>
      <c r="J179" s="268"/>
      <c r="K179" s="272"/>
      <c r="L179" s="16" t="str">
        <f t="shared" si="3"/>
        <v/>
      </c>
    </row>
    <row r="180" spans="3:17" ht="15" collapsed="1" thickBot="1" x14ac:dyDescent="0.35">
      <c r="C180" s="119"/>
      <c r="D180" s="119"/>
      <c r="E180" s="14"/>
      <c r="F180" s="14"/>
      <c r="G180" s="14"/>
      <c r="H180" s="14"/>
      <c r="I180" s="14"/>
      <c r="J180" s="14"/>
      <c r="K180" s="14"/>
    </row>
    <row r="181" spans="3:17" x14ac:dyDescent="0.3">
      <c r="C181" s="899" t="str">
        <f>template_label_b5_sites_in_biodiversity_sensitive_areas&amp;" "&amp;template_label_from&amp;" "&amp;template_starting_date_display&amp;" "&amp;template_label_to&amp;" "&amp;template_ending_date_display&amp;" "&amp;template_label_if_applicable</f>
        <v>B5 - Sites in biodiversity sensitive areas from 2024-01-01 to 2024-12-31 [If applicable]</v>
      </c>
      <c r="D181" s="899"/>
      <c r="E181" s="899"/>
      <c r="F181" s="899"/>
      <c r="G181" s="899"/>
      <c r="H181" s="899"/>
      <c r="I181" s="899"/>
      <c r="J181" s="899"/>
      <c r="K181" s="900"/>
    </row>
    <row r="182" spans="3:17" x14ac:dyDescent="0.3">
      <c r="C182" s="553">
        <v>33</v>
      </c>
      <c r="D182" s="553"/>
      <c r="E182" s="553"/>
      <c r="F182" s="553"/>
      <c r="G182" s="553"/>
      <c r="H182" s="553"/>
      <c r="I182" s="553"/>
      <c r="J182" s="553"/>
      <c r="K182" s="917"/>
    </row>
    <row r="183" spans="3:17" x14ac:dyDescent="0.3">
      <c r="C183" s="668" t="s">
        <v>5649</v>
      </c>
      <c r="D183" s="668"/>
      <c r="E183" s="668"/>
      <c r="F183" s="668"/>
      <c r="G183" s="668"/>
      <c r="H183" s="668"/>
      <c r="I183" s="668"/>
      <c r="J183" s="668"/>
      <c r="K183" s="901"/>
    </row>
    <row r="184" spans="3:17" x14ac:dyDescent="0.3">
      <c r="C184" s="752" t="str">
        <f>template_label_does_the_undertaking_have_sites_that_are_located_in_or_near_biodiversity_sensitive_areas</f>
        <v>Does the undertaking have sites that are located in or near biodiversity sensitive areas?</v>
      </c>
      <c r="D184" s="753"/>
      <c r="E184" s="753"/>
      <c r="F184" s="753"/>
      <c r="G184" s="922" t="b">
        <v>1</v>
      </c>
      <c r="H184" s="923"/>
      <c r="I184" s="923"/>
      <c r="J184" s="923"/>
      <c r="K184" s="924"/>
    </row>
    <row r="185" spans="3:17" x14ac:dyDescent="0.3">
      <c r="C185" s="925" t="str">
        <f>template_label_please_select_the_unit_used_for_the_area</f>
        <v>Please select the unit used for the area (i.e. either hectares or m²):</v>
      </c>
      <c r="D185" s="926"/>
      <c r="E185" s="926"/>
      <c r="F185" s="926"/>
      <c r="G185" s="926"/>
      <c r="H185" s="926"/>
      <c r="I185" s="926"/>
      <c r="J185" s="926"/>
      <c r="K185" s="927"/>
    </row>
    <row r="186" spans="3:17" ht="15" thickBot="1" x14ac:dyDescent="0.35">
      <c r="C186" s="860" t="s">
        <v>9555</v>
      </c>
      <c r="D186" s="861"/>
      <c r="E186" s="861"/>
      <c r="F186" s="861"/>
      <c r="G186" s="861"/>
      <c r="H186" s="861"/>
      <c r="I186" s="861"/>
      <c r="J186" s="861"/>
      <c r="K186" s="862"/>
      <c r="L186" s="17" t="str">
        <f>IF(AND(G184=TRUE,C186=""), template_label_missing_value, IF(AND(G184=TRUE,C186&lt;&gt;""), template_label_ok, ""))</f>
        <v>OK</v>
      </c>
    </row>
    <row r="187" spans="3:17" ht="57.6" customHeight="1" x14ac:dyDescent="0.3">
      <c r="C187" s="120" t="str">
        <f>template_label_related_site_id</f>
        <v>Related Site ID (select an ID from a site location reported in B1)</v>
      </c>
      <c r="D187" s="889" t="str">
        <f>template_label_site_location_in_near_a_biodiversity_area</f>
        <v>Site Location in near a biodiversity area - auto filled from B1</v>
      </c>
      <c r="E187" s="890"/>
      <c r="F187" s="891"/>
      <c r="G187" s="889" t="str">
        <f>template_label_area_hectares_or_m2</f>
        <v>Area (hectares or m² based on the selection above)</v>
      </c>
      <c r="H187" s="890"/>
      <c r="I187" s="891"/>
      <c r="J187" s="235" t="str">
        <f>template_label_site_located_in_a_biodiversity_sensitive_area</f>
        <v>Site located in a biodiversity sensitive area</v>
      </c>
      <c r="K187" s="236" t="str">
        <f>template_label_site_located_near_a_biodiversity_sensitive_area</f>
        <v>Site located near a biodiversity sensitive area</v>
      </c>
    </row>
    <row r="188" spans="3:17" x14ac:dyDescent="0.3">
      <c r="C188" s="231">
        <v>1</v>
      </c>
      <c r="D188" s="818" t="str">
        <f>IF(C188 = "", "",
IF(AND(COUNTIF('General Information'!C450:C549, C188),
        INDEX('General Information'!D450:D549, MATCH(C188, 'General Information'!C450:C549, 0)) = ""),
   "VALUE INCONSISTENCY",
IFERROR(VLOOKUP(C188, ListOfSitesTable, 5, FALSE),"") &amp; " " &amp;
IFERROR(VLOOKUP(C188, ListOfSitesTable, 4, FALSE),"") &amp; " " &amp;
IFERROR(VLOOKUP(C188, ListOfSitesTable, 2, FALSE),"")))</f>
        <v>Italy Milan Duomo Square</v>
      </c>
      <c r="E188" s="819"/>
      <c r="F188" s="820"/>
      <c r="G188" s="699">
        <v>1200</v>
      </c>
      <c r="H188" s="700"/>
      <c r="I188" s="700"/>
      <c r="J188" s="240" t="b">
        <v>1</v>
      </c>
      <c r="K188" s="238" t="b">
        <v>0</v>
      </c>
      <c r="L188" s="17" t="str">
        <f t="shared" ref="L188:L286" si="4">IF($G$184=FALSE, "",
    IF(AND($G$184=TRUE, TRIM(D188)&lt;&gt;"", TRIM(G188)&lt;&gt;"", OR(J188=TRUE, K188=TRUE)), template_label_ok,
        IF(AND($G$184=TRUE, TRIM(D188)&lt;&gt;"", TRIM(G188)&lt;&gt;"", J188=FALSE, K188=FALSE), template_label_missing_value,
            IF(AND($G$184=TRUE, TRIM(D188)&lt;&gt;"", TRIM(G188)="", J188=FALSE, K188=FALSE), template_label_missing_value,
                IF(AND($G$184=TRUE, TRIM(D188)&lt;&gt;"", TRIM(G188)="", OR(J188=TRUE, K188=TRUE)), template_label_missing_value,
                    IF(AND($G$184=TRUE, TRIM(D188)="", TRIM(G188)&lt;&gt;"", J188=FALSE, K188=FALSE), template_label_missing_value,
                        IF(AND($G$184=TRUE, TRIM(D188)="", TRIM(G188)="", OR(J188=TRUE, K188=TRUE)), template_label_missing_value,
                            IF(AND($G$184=TRUE, TRIM(D188)="", TRIM(G188)&lt;&gt;"", OR(J188=TRUE, K188=TRUE)), template_label_missing_value,
                                ""
                            )
                        )
                    )
                )
            )
        )
    )
)</f>
        <v>OK</v>
      </c>
      <c r="M188" t="str">
        <f>template_label_site_ID_value_inconsistency_warning</f>
        <v>ℹ️  If a validation related to value inconsistency is displayed, please select a site ID that is different from one of those previously selected.</v>
      </c>
    </row>
    <row r="189" spans="3:17" x14ac:dyDescent="0.3">
      <c r="C189" s="231"/>
      <c r="D189" s="757" t="str">
        <f>IF(C189 = "", "",
IF(COUNTIF($C$188:C188, C189), "VALUE INCONSISTENCY",
IF(AND(COUNTIF('General Information'!$C$450:$C$549, C189),
       INDEX('General Information'!$D$450:$D$549, MATCH(C189, 'General Information'!$C$450:$C$549, 0)) = ""),
   "VALUE INCONSISTENCY",
IFERROR(VLOOKUP(C189, ListOfSitesTable, 5, FALSE), "") &amp; " " &amp;
IFERROR(VLOOKUP(C189, ListOfSitesTable, 4, FALSE), "") &amp; " " &amp;
IFERROR(VLOOKUP(C189, ListOfSitesTable, 2, FALSE), ""))))</f>
        <v/>
      </c>
      <c r="E189" s="758"/>
      <c r="F189" s="759"/>
      <c r="G189" s="699"/>
      <c r="H189" s="700"/>
      <c r="I189" s="700"/>
      <c r="J189" s="240" t="b">
        <v>0</v>
      </c>
      <c r="K189" s="238" t="b">
        <v>0</v>
      </c>
      <c r="L189" s="17" t="str">
        <f t="shared" si="4"/>
        <v/>
      </c>
    </row>
    <row r="190" spans="3:17" ht="15" thickBot="1" x14ac:dyDescent="0.35">
      <c r="C190" s="233"/>
      <c r="D190" s="837" t="str">
        <f>IF(C190 = "", "",
IF(COUNTIF($C$188:C189, C190), "VALUE INCONSISTENCY",
IF(AND(COUNTIF('General Information'!$C$450:$C$549, C190),
       INDEX('General Information'!$D$450:$D$549, MATCH(C190, 'General Information'!$C$450:$C$549, 0)) = ""),
   "VALUE INCONSISTENCY",
IFERROR(VLOOKUP(C190, ListOfSitesTable, 5, FALSE), "") &amp; " " &amp;
IFERROR(VLOOKUP(C190, ListOfSitesTable, 4, FALSE), "") &amp; " " &amp;
IFERROR(VLOOKUP(C190, ListOfSitesTable, 2, FALSE), ""))))</f>
        <v/>
      </c>
      <c r="E190" s="838"/>
      <c r="F190" s="839"/>
      <c r="G190" s="902"/>
      <c r="H190" s="902"/>
      <c r="I190" s="902"/>
      <c r="J190" s="241" t="b">
        <v>0</v>
      </c>
      <c r="K190" s="239" t="b">
        <v>0</v>
      </c>
      <c r="L190" s="17" t="str">
        <f t="shared" si="4"/>
        <v/>
      </c>
      <c r="M190" t="str">
        <f>template_label_additional_rows_warning</f>
        <v>ℹ️  Lists can be expanded using the little [+] button on the left.  If the number of rows is not sufficient, those can be added by right clicking the second row and selecting "Insert row".</v>
      </c>
    </row>
    <row r="191" spans="3:17" hidden="1" outlineLevel="1" x14ac:dyDescent="0.3">
      <c r="C191" s="232"/>
      <c r="D191" s="754" t="str">
        <f>IF(C191 = "", "",
IF(COUNTIF($C$188:C190, C191), "VALUE INCONSISTENCY",
IF(AND(COUNTIF('General Information'!$C$450:$C$549, C191),
       INDEX('General Information'!$D$450:$D$549, MATCH(C191, 'General Information'!$C$450:$C$549, 0)) = ""),
   "VALUE INCONSISTENCY",
IFERROR(VLOOKUP(C191, ListOfSitesTable, 5, FALSE), "") &amp; " " &amp;
IFERROR(VLOOKUP(C191, ListOfSitesTable, 4, FALSE), "") &amp; " " &amp;
IFERROR(VLOOKUP(C191, ListOfSitesTable, 2, FALSE), ""))))</f>
        <v/>
      </c>
      <c r="E191" s="755"/>
      <c r="F191" s="756"/>
      <c r="G191" s="955"/>
      <c r="H191" s="956"/>
      <c r="I191" s="957"/>
      <c r="J191" s="242" t="b">
        <v>0</v>
      </c>
      <c r="K191" s="237" t="b">
        <v>0</v>
      </c>
      <c r="L191" s="17" t="str">
        <f t="shared" si="4"/>
        <v/>
      </c>
      <c r="M191" s="10"/>
      <c r="N191" s="10"/>
      <c r="O191" s="10"/>
      <c r="P191" s="10"/>
      <c r="Q191" s="10"/>
    </row>
    <row r="192" spans="3:17" hidden="1" outlineLevel="1" x14ac:dyDescent="0.3">
      <c r="C192" s="232"/>
      <c r="D192" s="757" t="str">
        <f>IF(C192 = "", "",
IF(COUNTIF($C$188:C191, C192), "VALUE INCONSISTENCY",
IF(AND(COUNTIF('General Information'!$C$450:$C$549, C192),
       INDEX('General Information'!$D$450:$D$549, MATCH(C192, 'General Information'!$C$450:$C$549, 0)) = ""),
   "VALUE INCONSISTENCY",
IFERROR(VLOOKUP(C192, ListOfSitesTable, 5, FALSE), "") &amp; " " &amp;
IFERROR(VLOOKUP(C192, ListOfSitesTable, 4, FALSE), "") &amp; " " &amp;
IFERROR(VLOOKUP(C192, ListOfSitesTable, 2, FALSE), ""))))</f>
        <v/>
      </c>
      <c r="E192" s="758"/>
      <c r="F192" s="759"/>
      <c r="G192" s="699"/>
      <c r="H192" s="700"/>
      <c r="I192" s="701"/>
      <c r="J192" s="243" t="b">
        <v>0</v>
      </c>
      <c r="K192" s="238" t="b">
        <v>0</v>
      </c>
      <c r="L192" s="17" t="str">
        <f t="shared" si="4"/>
        <v/>
      </c>
      <c r="M192" s="10"/>
      <c r="N192" s="10"/>
      <c r="O192" s="10"/>
      <c r="P192" s="10"/>
      <c r="Q192" s="10"/>
    </row>
    <row r="193" spans="3:17" hidden="1" outlineLevel="1" x14ac:dyDescent="0.3">
      <c r="C193" s="231"/>
      <c r="D193" s="757" t="str">
        <f>IF(C193 = "", "",
IF(COUNTIF($C$188:C192, C193), "VALUE INCONSISTENCY",
IF(AND(COUNTIF('General Information'!$C$450:$C$549, C193),
       INDEX('General Information'!$D$450:$D$549, MATCH(C193, 'General Information'!$C$450:$C$549, 0)) = ""),
   "VALUE INCONSISTENCY",
IFERROR(VLOOKUP(C193, ListOfSitesTable, 5, FALSE), "") &amp; " " &amp;
IFERROR(VLOOKUP(C193, ListOfSitesTable, 4, FALSE), "") &amp; " " &amp;
IFERROR(VLOOKUP(C193, ListOfSitesTable, 2, FALSE), ""))))</f>
        <v/>
      </c>
      <c r="E193" s="758"/>
      <c r="F193" s="759"/>
      <c r="G193" s="699"/>
      <c r="H193" s="700"/>
      <c r="I193" s="701"/>
      <c r="J193" s="243" t="b">
        <v>0</v>
      </c>
      <c r="K193" s="238" t="b">
        <v>0</v>
      </c>
      <c r="L193" s="17" t="str">
        <f t="shared" si="4"/>
        <v/>
      </c>
      <c r="M193" s="10"/>
      <c r="N193" s="10"/>
      <c r="O193" s="10"/>
      <c r="P193" s="10"/>
      <c r="Q193" s="10"/>
    </row>
    <row r="194" spans="3:17" hidden="1" outlineLevel="1" x14ac:dyDescent="0.3">
      <c r="C194" s="231"/>
      <c r="D194" s="757" t="str">
        <f>IF(C194 = "", "",
IF(COUNTIF($C$188:C193, C194), "VALUE INCONSISTENCY",
IF(AND(COUNTIF('General Information'!$C$450:$C$549, C194),
       INDEX('General Information'!$D$450:$D$549, MATCH(C194, 'General Information'!$C$450:$C$549, 0)) = ""),
   "VALUE INCONSISTENCY",
IFERROR(VLOOKUP(C194, ListOfSitesTable, 5, FALSE), "") &amp; " " &amp;
IFERROR(VLOOKUP(C194, ListOfSitesTable, 4, FALSE), "") &amp; " " &amp;
IFERROR(VLOOKUP(C194, ListOfSitesTable, 2, FALSE), ""))))</f>
        <v/>
      </c>
      <c r="E194" s="758"/>
      <c r="F194" s="759"/>
      <c r="G194" s="699"/>
      <c r="H194" s="700"/>
      <c r="I194" s="701"/>
      <c r="J194" s="243" t="b">
        <v>0</v>
      </c>
      <c r="K194" s="238" t="b">
        <v>0</v>
      </c>
      <c r="L194" s="17" t="str">
        <f t="shared" si="4"/>
        <v/>
      </c>
      <c r="M194" s="10"/>
      <c r="N194" s="10"/>
      <c r="O194" s="10"/>
      <c r="P194" s="10"/>
      <c r="Q194" s="10"/>
    </row>
    <row r="195" spans="3:17" hidden="1" outlineLevel="1" x14ac:dyDescent="0.3">
      <c r="C195" s="231"/>
      <c r="D195" s="757" t="str">
        <f>IF(C195 = "", "",
IF(COUNTIF($C$188:C194, C195), "VALUE INCONSISTENCY",
IF(AND(COUNTIF('General Information'!$C$450:$C$549, C195),
       INDEX('General Information'!$D$450:$D$549, MATCH(C195, 'General Information'!$C$450:$C$549, 0)) = ""),
   "VALUE INCONSISTENCY",
IFERROR(VLOOKUP(C195, ListOfSitesTable, 5, FALSE), "") &amp; " " &amp;
IFERROR(VLOOKUP(C195, ListOfSitesTable, 4, FALSE), "") &amp; " " &amp;
IFERROR(VLOOKUP(C195, ListOfSitesTable, 2, FALSE), ""))))</f>
        <v/>
      </c>
      <c r="E195" s="758"/>
      <c r="F195" s="759"/>
      <c r="G195" s="699"/>
      <c r="H195" s="700"/>
      <c r="I195" s="701"/>
      <c r="J195" s="243" t="b">
        <v>0</v>
      </c>
      <c r="K195" s="238" t="b">
        <v>0</v>
      </c>
      <c r="L195" s="17" t="str">
        <f t="shared" si="4"/>
        <v/>
      </c>
      <c r="M195" s="10"/>
      <c r="N195" s="10"/>
      <c r="O195" s="10"/>
      <c r="P195" s="10"/>
      <c r="Q195" s="10"/>
    </row>
    <row r="196" spans="3:17" hidden="1" outlineLevel="1" x14ac:dyDescent="0.3">
      <c r="C196" s="231"/>
      <c r="D196" s="757" t="str">
        <f>IF(C196 = "", "",
IF(COUNTIF($C$188:C195, C196), "VALUE INCONSISTENCY",
IF(AND(COUNTIF('General Information'!$C$450:$C$549, C196),
       INDEX('General Information'!$D$450:$D$549, MATCH(C196, 'General Information'!$C$450:$C$549, 0)) = ""),
   "VALUE INCONSISTENCY",
IFERROR(VLOOKUP(C196, ListOfSitesTable, 5, FALSE), "") &amp; " " &amp;
IFERROR(VLOOKUP(C196, ListOfSitesTable, 4, FALSE), "") &amp; " " &amp;
IFERROR(VLOOKUP(C196, ListOfSitesTable, 2, FALSE), ""))))</f>
        <v/>
      </c>
      <c r="E196" s="758"/>
      <c r="F196" s="759"/>
      <c r="G196" s="699"/>
      <c r="H196" s="700"/>
      <c r="I196" s="701"/>
      <c r="J196" s="243" t="b">
        <v>0</v>
      </c>
      <c r="K196" s="238" t="b">
        <v>0</v>
      </c>
      <c r="L196" s="17" t="str">
        <f t="shared" si="4"/>
        <v/>
      </c>
      <c r="M196" s="10"/>
      <c r="N196" s="10"/>
      <c r="O196" s="10"/>
      <c r="P196" s="10"/>
      <c r="Q196" s="10"/>
    </row>
    <row r="197" spans="3:17" hidden="1" outlineLevel="1" x14ac:dyDescent="0.3">
      <c r="C197" s="231"/>
      <c r="D197" s="757" t="str">
        <f>IF(C197 = "", "",
IF(COUNTIF($C$188:C196, C197), "VALUE INCONSISTENCY",
IF(AND(COUNTIF('General Information'!$C$450:$C$549, C197),
       INDEX('General Information'!$D$450:$D$549, MATCH(C197, 'General Information'!$C$450:$C$549, 0)) = ""),
   "VALUE INCONSISTENCY",
IFERROR(VLOOKUP(C197, ListOfSitesTable, 5, FALSE), "") &amp; " " &amp;
IFERROR(VLOOKUP(C197, ListOfSitesTable, 4, FALSE), "") &amp; " " &amp;
IFERROR(VLOOKUP(C197, ListOfSitesTable, 2, FALSE), ""))))</f>
        <v/>
      </c>
      <c r="E197" s="758"/>
      <c r="F197" s="759"/>
      <c r="G197" s="699"/>
      <c r="H197" s="700"/>
      <c r="I197" s="701"/>
      <c r="J197" s="243" t="b">
        <v>0</v>
      </c>
      <c r="K197" s="238" t="b">
        <v>0</v>
      </c>
      <c r="L197" s="17" t="str">
        <f t="shared" si="4"/>
        <v/>
      </c>
      <c r="M197" s="10"/>
      <c r="N197" s="10"/>
      <c r="O197" s="10"/>
      <c r="P197" s="10"/>
      <c r="Q197" s="10"/>
    </row>
    <row r="198" spans="3:17" hidden="1" outlineLevel="1" x14ac:dyDescent="0.3">
      <c r="C198" s="231"/>
      <c r="D198" s="757" t="str">
        <f>IF(C198 = "", "",
IF(COUNTIF($C$188:C197, C198), "VALUE INCONSISTENCY",
IF(AND(COUNTIF('General Information'!$C$450:$C$549, C198),
       INDEX('General Information'!$D$450:$D$549, MATCH(C198, 'General Information'!$C$450:$C$549, 0)) = ""),
   "VALUE INCONSISTENCY",
IFERROR(VLOOKUP(C198, ListOfSitesTable, 5, FALSE), "") &amp; " " &amp;
IFERROR(VLOOKUP(C198, ListOfSitesTable, 4, FALSE), "") &amp; " " &amp;
IFERROR(VLOOKUP(C198, ListOfSitesTable, 2, FALSE), ""))))</f>
        <v/>
      </c>
      <c r="E198" s="758"/>
      <c r="F198" s="759"/>
      <c r="G198" s="699"/>
      <c r="H198" s="700"/>
      <c r="I198" s="701"/>
      <c r="J198" s="243" t="b">
        <v>0</v>
      </c>
      <c r="K198" s="238" t="b">
        <v>0</v>
      </c>
      <c r="L198" s="17" t="str">
        <f t="shared" si="4"/>
        <v/>
      </c>
      <c r="M198" s="10"/>
      <c r="N198" s="10"/>
      <c r="O198" s="10"/>
      <c r="P198" s="10"/>
      <c r="Q198" s="10"/>
    </row>
    <row r="199" spans="3:17" hidden="1" outlineLevel="1" x14ac:dyDescent="0.3">
      <c r="C199" s="231"/>
      <c r="D199" s="757" t="str">
        <f>IF(C199 = "", "",
IF(COUNTIF($C$188:C198, C199), "VALUE INCONSISTENCY",
IF(AND(COUNTIF('General Information'!$C$450:$C$549, C199),
       INDEX('General Information'!$D$450:$D$549, MATCH(C199, 'General Information'!$C$450:$C$549, 0)) = ""),
   "VALUE INCONSISTENCY",
IFERROR(VLOOKUP(C199, ListOfSitesTable, 5, FALSE), "") &amp; " " &amp;
IFERROR(VLOOKUP(C199, ListOfSitesTable, 4, FALSE), "") &amp; " " &amp;
IFERROR(VLOOKUP(C199, ListOfSitesTable, 2, FALSE), ""))))</f>
        <v/>
      </c>
      <c r="E199" s="758"/>
      <c r="F199" s="759"/>
      <c r="G199" s="699"/>
      <c r="H199" s="700"/>
      <c r="I199" s="701"/>
      <c r="J199" s="243" t="b">
        <v>0</v>
      </c>
      <c r="K199" s="238" t="b">
        <v>0</v>
      </c>
      <c r="L199" s="17" t="str">
        <f t="shared" si="4"/>
        <v/>
      </c>
      <c r="M199" s="10"/>
      <c r="N199" s="10"/>
      <c r="O199" s="10"/>
      <c r="P199" s="10"/>
      <c r="Q199" s="10"/>
    </row>
    <row r="200" spans="3:17" hidden="1" outlineLevel="1" x14ac:dyDescent="0.3">
      <c r="C200" s="231"/>
      <c r="D200" s="757" t="str">
        <f>IF(C200 = "", "",
IF(COUNTIF($C$188:C199, C200), "VALUE INCONSISTENCY",
IF(AND(COUNTIF('General Information'!$C$450:$C$549, C200),
       INDEX('General Information'!$D$450:$D$549, MATCH(C200, 'General Information'!$C$450:$C$549, 0)) = ""),
   "VALUE INCONSISTENCY",
IFERROR(VLOOKUP(C200, ListOfSitesTable, 5, FALSE), "") &amp; " " &amp;
IFERROR(VLOOKUP(C200, ListOfSitesTable, 4, FALSE), "") &amp; " " &amp;
IFERROR(VLOOKUP(C200, ListOfSitesTable, 2, FALSE), ""))))</f>
        <v/>
      </c>
      <c r="E200" s="758"/>
      <c r="F200" s="759"/>
      <c r="G200" s="699"/>
      <c r="H200" s="700"/>
      <c r="I200" s="701"/>
      <c r="J200" s="243" t="b">
        <v>0</v>
      </c>
      <c r="K200" s="238" t="b">
        <v>0</v>
      </c>
      <c r="L200" s="17" t="str">
        <f t="shared" si="4"/>
        <v/>
      </c>
      <c r="M200" s="10"/>
      <c r="N200" s="10"/>
      <c r="O200" s="10"/>
      <c r="P200" s="10"/>
      <c r="Q200" s="10"/>
    </row>
    <row r="201" spans="3:17" hidden="1" outlineLevel="1" x14ac:dyDescent="0.3">
      <c r="C201" s="231"/>
      <c r="D201" s="757" t="str">
        <f>IF(C201 = "", "",
IF(COUNTIF($C$188:C200, C201), "VALUE INCONSISTENCY",
IF(AND(COUNTIF('General Information'!$C$450:$C$549, C201),
       INDEX('General Information'!$D$450:$D$549, MATCH(C201, 'General Information'!$C$450:$C$549, 0)) = ""),
   "VALUE INCONSISTENCY",
IFERROR(VLOOKUP(C201, ListOfSitesTable, 5, FALSE), "") &amp; " " &amp;
IFERROR(VLOOKUP(C201, ListOfSitesTable, 4, FALSE), "") &amp; " " &amp;
IFERROR(VLOOKUP(C201, ListOfSitesTable, 2, FALSE), ""))))</f>
        <v/>
      </c>
      <c r="E201" s="758"/>
      <c r="F201" s="759"/>
      <c r="G201" s="699"/>
      <c r="H201" s="700"/>
      <c r="I201" s="701"/>
      <c r="J201" s="243" t="b">
        <v>0</v>
      </c>
      <c r="K201" s="238" t="b">
        <v>0</v>
      </c>
      <c r="L201" s="17" t="str">
        <f t="shared" si="4"/>
        <v/>
      </c>
      <c r="M201" s="10"/>
      <c r="N201" s="10"/>
      <c r="O201" s="10"/>
      <c r="P201" s="10"/>
      <c r="Q201" s="10"/>
    </row>
    <row r="202" spans="3:17" hidden="1" outlineLevel="1" x14ac:dyDescent="0.3">
      <c r="C202" s="231"/>
      <c r="D202" s="757" t="str">
        <f>IF(C202 = "", "",
IF(COUNTIF($C$188:C201, C202), "VALUE INCONSISTENCY",
IF(AND(COUNTIF('General Information'!$C$450:$C$549, C202),
       INDEX('General Information'!$D$450:$D$549, MATCH(C202, 'General Information'!$C$450:$C$549, 0)) = ""),
   "VALUE INCONSISTENCY",
IFERROR(VLOOKUP(C202, ListOfSitesTable, 5, FALSE), "") &amp; " " &amp;
IFERROR(VLOOKUP(C202, ListOfSitesTable, 4, FALSE), "") &amp; " " &amp;
IFERROR(VLOOKUP(C202, ListOfSitesTable, 2, FALSE), ""))))</f>
        <v/>
      </c>
      <c r="E202" s="758"/>
      <c r="F202" s="759"/>
      <c r="G202" s="699"/>
      <c r="H202" s="700"/>
      <c r="I202" s="701"/>
      <c r="J202" s="243" t="b">
        <v>0</v>
      </c>
      <c r="K202" s="238" t="b">
        <v>0</v>
      </c>
      <c r="L202" s="17" t="str">
        <f t="shared" si="4"/>
        <v/>
      </c>
      <c r="M202" s="10"/>
      <c r="N202" s="10"/>
      <c r="O202" s="10"/>
      <c r="P202" s="10"/>
      <c r="Q202" s="10"/>
    </row>
    <row r="203" spans="3:17" hidden="1" outlineLevel="1" x14ac:dyDescent="0.3">
      <c r="C203" s="231"/>
      <c r="D203" s="757" t="str">
        <f>IF(C203 = "", "",
IF(COUNTIF($C$188:C202, C203), "VALUE INCONSISTENCY",
IF(AND(COUNTIF('General Information'!$C$450:$C$549, C203),
       INDEX('General Information'!$D$450:$D$549, MATCH(C203, 'General Information'!$C$450:$C$549, 0)) = ""),
   "VALUE INCONSISTENCY",
IFERROR(VLOOKUP(C203, ListOfSitesTable, 5, FALSE), "") &amp; " " &amp;
IFERROR(VLOOKUP(C203, ListOfSitesTable, 4, FALSE), "") &amp; " " &amp;
IFERROR(VLOOKUP(C203, ListOfSitesTable, 2, FALSE), ""))))</f>
        <v/>
      </c>
      <c r="E203" s="758"/>
      <c r="F203" s="759"/>
      <c r="G203" s="699"/>
      <c r="H203" s="700"/>
      <c r="I203" s="701"/>
      <c r="J203" s="243" t="b">
        <v>0</v>
      </c>
      <c r="K203" s="238" t="b">
        <v>0</v>
      </c>
      <c r="L203" s="17" t="str">
        <f t="shared" si="4"/>
        <v/>
      </c>
      <c r="M203" s="10"/>
      <c r="N203" s="10"/>
      <c r="O203" s="10"/>
      <c r="P203" s="10"/>
      <c r="Q203" s="10"/>
    </row>
    <row r="204" spans="3:17" hidden="1" outlineLevel="1" x14ac:dyDescent="0.3">
      <c r="C204" s="231"/>
      <c r="D204" s="757" t="str">
        <f>IF(C204 = "", "",
IF(COUNTIF($C$188:C203, C204), "VALUE INCONSISTENCY",
IF(AND(COUNTIF('General Information'!$C$450:$C$549, C204),
       INDEX('General Information'!$D$450:$D$549, MATCH(C204, 'General Information'!$C$450:$C$549, 0)) = ""),
   "VALUE INCONSISTENCY",
IFERROR(VLOOKUP(C204, ListOfSitesTable, 5, FALSE), "") &amp; " " &amp;
IFERROR(VLOOKUP(C204, ListOfSitesTable, 4, FALSE), "") &amp; " " &amp;
IFERROR(VLOOKUP(C204, ListOfSitesTable, 2, FALSE), ""))))</f>
        <v/>
      </c>
      <c r="E204" s="758"/>
      <c r="F204" s="759"/>
      <c r="G204" s="699"/>
      <c r="H204" s="700"/>
      <c r="I204" s="701"/>
      <c r="J204" s="243" t="b">
        <v>0</v>
      </c>
      <c r="K204" s="238" t="b">
        <v>0</v>
      </c>
      <c r="L204" s="17" t="str">
        <f t="shared" si="4"/>
        <v/>
      </c>
      <c r="M204" s="10"/>
      <c r="N204" s="10"/>
      <c r="O204" s="10"/>
      <c r="P204" s="10"/>
      <c r="Q204" s="10"/>
    </row>
    <row r="205" spans="3:17" hidden="1" outlineLevel="1" x14ac:dyDescent="0.3">
      <c r="C205" s="231"/>
      <c r="D205" s="757" t="str">
        <f>IF(C205 = "", "",
IF(COUNTIF($C$188:C204, C205), "VALUE INCONSISTENCY",
IF(AND(COUNTIF('General Information'!$C$450:$C$549, C205),
       INDEX('General Information'!$D$450:$D$549, MATCH(C205, 'General Information'!$C$450:$C$549, 0)) = ""),
   "VALUE INCONSISTENCY",
IFERROR(VLOOKUP(C205, ListOfSitesTable, 5, FALSE), "") &amp; " " &amp;
IFERROR(VLOOKUP(C205, ListOfSitesTable, 4, FALSE), "") &amp; " " &amp;
IFERROR(VLOOKUP(C205, ListOfSitesTable, 2, FALSE), ""))))</f>
        <v/>
      </c>
      <c r="E205" s="758"/>
      <c r="F205" s="759"/>
      <c r="G205" s="699"/>
      <c r="H205" s="700"/>
      <c r="I205" s="701"/>
      <c r="J205" s="243" t="b">
        <v>0</v>
      </c>
      <c r="K205" s="238" t="b">
        <v>0</v>
      </c>
      <c r="L205" s="17" t="str">
        <f t="shared" si="4"/>
        <v/>
      </c>
      <c r="M205" s="10"/>
      <c r="N205" s="10"/>
      <c r="O205" s="10"/>
      <c r="P205" s="10"/>
      <c r="Q205" s="10"/>
    </row>
    <row r="206" spans="3:17" hidden="1" outlineLevel="1" x14ac:dyDescent="0.3">
      <c r="C206" s="231"/>
      <c r="D206" s="757" t="str">
        <f>IF(C206 = "", "",
IF(COUNTIF($C$188:C205, C206), "VALUE INCONSISTENCY",
IF(AND(COUNTIF('General Information'!$C$450:$C$549, C206),
       INDEX('General Information'!$D$450:$D$549, MATCH(C206, 'General Information'!$C$450:$C$549, 0)) = ""),
   "VALUE INCONSISTENCY",
IFERROR(VLOOKUP(C206, ListOfSitesTable, 5, FALSE), "") &amp; " " &amp;
IFERROR(VLOOKUP(C206, ListOfSitesTable, 4, FALSE), "") &amp; " " &amp;
IFERROR(VLOOKUP(C206, ListOfSitesTable, 2, FALSE), ""))))</f>
        <v/>
      </c>
      <c r="E206" s="758"/>
      <c r="F206" s="759"/>
      <c r="G206" s="699"/>
      <c r="H206" s="700"/>
      <c r="I206" s="701"/>
      <c r="J206" s="243" t="b">
        <v>0</v>
      </c>
      <c r="K206" s="238" t="b">
        <v>0</v>
      </c>
      <c r="L206" s="17" t="str">
        <f t="shared" si="4"/>
        <v/>
      </c>
      <c r="M206" s="10"/>
      <c r="N206" s="10"/>
      <c r="O206" s="10"/>
      <c r="P206" s="10"/>
      <c r="Q206" s="10"/>
    </row>
    <row r="207" spans="3:17" hidden="1" outlineLevel="1" x14ac:dyDescent="0.3">
      <c r="C207" s="231"/>
      <c r="D207" s="757" t="str">
        <f>IF(C207 = "", "",
IF(COUNTIF($C$188:C206, C207), "VALUE INCONSISTENCY",
IF(AND(COUNTIF('General Information'!$C$450:$C$549, C207),
       INDEX('General Information'!$D$450:$D$549, MATCH(C207, 'General Information'!$C$450:$C$549, 0)) = ""),
   "VALUE INCONSISTENCY",
IFERROR(VLOOKUP(C207, ListOfSitesTable, 5, FALSE), "") &amp; " " &amp;
IFERROR(VLOOKUP(C207, ListOfSitesTable, 4, FALSE), "") &amp; " " &amp;
IFERROR(VLOOKUP(C207, ListOfSitesTable, 2, FALSE), ""))))</f>
        <v/>
      </c>
      <c r="E207" s="758"/>
      <c r="F207" s="759"/>
      <c r="G207" s="699"/>
      <c r="H207" s="700"/>
      <c r="I207" s="701"/>
      <c r="J207" s="243" t="b">
        <v>0</v>
      </c>
      <c r="K207" s="238" t="b">
        <v>0</v>
      </c>
      <c r="L207" s="17" t="str">
        <f t="shared" si="4"/>
        <v/>
      </c>
      <c r="M207" s="10"/>
      <c r="N207" s="10"/>
      <c r="O207" s="10"/>
      <c r="P207" s="10"/>
      <c r="Q207" s="10"/>
    </row>
    <row r="208" spans="3:17" hidden="1" outlineLevel="1" x14ac:dyDescent="0.3">
      <c r="C208" s="231"/>
      <c r="D208" s="757" t="str">
        <f>IF(C208 = "", "",
IF(COUNTIF($C$188:C207, C208), "VALUE INCONSISTENCY",
IF(AND(COUNTIF('General Information'!$C$450:$C$549, C208),
       INDEX('General Information'!$D$450:$D$549, MATCH(C208, 'General Information'!$C$450:$C$549, 0)) = ""),
   "VALUE INCONSISTENCY",
IFERROR(VLOOKUP(C208, ListOfSitesTable, 5, FALSE), "") &amp; " " &amp;
IFERROR(VLOOKUP(C208, ListOfSitesTable, 4, FALSE), "") &amp; " " &amp;
IFERROR(VLOOKUP(C208, ListOfSitesTable, 2, FALSE), ""))))</f>
        <v/>
      </c>
      <c r="E208" s="758"/>
      <c r="F208" s="759"/>
      <c r="G208" s="699"/>
      <c r="H208" s="700"/>
      <c r="I208" s="701"/>
      <c r="J208" s="243" t="b">
        <v>0</v>
      </c>
      <c r="K208" s="238" t="b">
        <v>0</v>
      </c>
      <c r="L208" s="17" t="str">
        <f t="shared" si="4"/>
        <v/>
      </c>
      <c r="M208" s="10"/>
      <c r="N208" s="10"/>
      <c r="O208" s="10"/>
      <c r="P208" s="10"/>
      <c r="Q208" s="10"/>
    </row>
    <row r="209" spans="3:17" hidden="1" outlineLevel="1" x14ac:dyDescent="0.3">
      <c r="C209" s="231"/>
      <c r="D209" s="757" t="str">
        <f>IF(C209 = "", "",
IF(COUNTIF($C$188:C208, C209), "VALUE INCONSISTENCY",
IF(AND(COUNTIF('General Information'!$C$450:$C$549, C209),
       INDEX('General Information'!$D$450:$D$549, MATCH(C209, 'General Information'!$C$450:$C$549, 0)) = ""),
   "VALUE INCONSISTENCY",
IFERROR(VLOOKUP(C209, ListOfSitesTable, 5, FALSE), "") &amp; " " &amp;
IFERROR(VLOOKUP(C209, ListOfSitesTable, 4, FALSE), "") &amp; " " &amp;
IFERROR(VLOOKUP(C209, ListOfSitesTable, 2, FALSE), ""))))</f>
        <v/>
      </c>
      <c r="E209" s="758"/>
      <c r="F209" s="759"/>
      <c r="G209" s="699"/>
      <c r="H209" s="700"/>
      <c r="I209" s="701"/>
      <c r="J209" s="243" t="b">
        <v>0</v>
      </c>
      <c r="K209" s="238" t="b">
        <v>0</v>
      </c>
      <c r="L209" s="17" t="str">
        <f t="shared" si="4"/>
        <v/>
      </c>
      <c r="M209" s="10"/>
      <c r="N209" s="10"/>
      <c r="O209" s="10"/>
      <c r="P209" s="10"/>
      <c r="Q209" s="10"/>
    </row>
    <row r="210" spans="3:17" hidden="1" outlineLevel="1" x14ac:dyDescent="0.3">
      <c r="C210" s="231"/>
      <c r="D210" s="757" t="str">
        <f>IF(C210 = "", "",
IF(COUNTIF($C$188:C209, C210), "VALUE INCONSISTENCY",
IF(AND(COUNTIF('General Information'!$C$450:$C$549, C210),
       INDEX('General Information'!$D$450:$D$549, MATCH(C210, 'General Information'!$C$450:$C$549, 0)) = ""),
   "VALUE INCONSISTENCY",
IFERROR(VLOOKUP(C210, ListOfSitesTable, 5, FALSE), "") &amp; " " &amp;
IFERROR(VLOOKUP(C210, ListOfSitesTable, 4, FALSE), "") &amp; " " &amp;
IFERROR(VLOOKUP(C210, ListOfSitesTable, 2, FALSE), ""))))</f>
        <v/>
      </c>
      <c r="E210" s="758"/>
      <c r="F210" s="759"/>
      <c r="G210" s="699"/>
      <c r="H210" s="700"/>
      <c r="I210" s="701"/>
      <c r="J210" s="243" t="b">
        <v>0</v>
      </c>
      <c r="K210" s="238" t="b">
        <v>0</v>
      </c>
      <c r="L210" s="17" t="str">
        <f t="shared" si="4"/>
        <v/>
      </c>
      <c r="M210" s="10"/>
      <c r="N210" s="10"/>
      <c r="O210" s="10"/>
      <c r="P210" s="10"/>
      <c r="Q210" s="10"/>
    </row>
    <row r="211" spans="3:17" hidden="1" outlineLevel="1" x14ac:dyDescent="0.3">
      <c r="C211" s="231"/>
      <c r="D211" s="757" t="str">
        <f>IF(C211 = "", "",
IF(COUNTIF($C$188:C210, C211), "VALUE INCONSISTENCY",
IF(AND(COUNTIF('General Information'!$C$450:$C$549, C211),
       INDEX('General Information'!$D$450:$D$549, MATCH(C211, 'General Information'!$C$450:$C$549, 0)) = ""),
   "VALUE INCONSISTENCY",
IFERROR(VLOOKUP(C211, ListOfSitesTable, 5, FALSE), "") &amp; " " &amp;
IFERROR(VLOOKUP(C211, ListOfSitesTable, 4, FALSE), "") &amp; " " &amp;
IFERROR(VLOOKUP(C211, ListOfSitesTable, 2, FALSE), ""))))</f>
        <v/>
      </c>
      <c r="E211" s="758"/>
      <c r="F211" s="759"/>
      <c r="G211" s="699"/>
      <c r="H211" s="700"/>
      <c r="I211" s="701"/>
      <c r="J211" s="243" t="b">
        <v>0</v>
      </c>
      <c r="K211" s="238" t="b">
        <v>0</v>
      </c>
      <c r="L211" s="17" t="str">
        <f t="shared" si="4"/>
        <v/>
      </c>
      <c r="M211" s="10"/>
      <c r="N211" s="10"/>
      <c r="O211" s="10"/>
      <c r="P211" s="10"/>
      <c r="Q211" s="10"/>
    </row>
    <row r="212" spans="3:17" hidden="1" outlineLevel="1" x14ac:dyDescent="0.3">
      <c r="C212" s="231"/>
      <c r="D212" s="757" t="str">
        <f>IF(C212 = "", "",
IF(COUNTIF($C$188:C211, C212), "VALUE INCONSISTENCY",
IF(AND(COUNTIF('General Information'!$C$450:$C$549, C212),
       INDEX('General Information'!$D$450:$D$549, MATCH(C212, 'General Information'!$C$450:$C$549, 0)) = ""),
   "VALUE INCONSISTENCY",
IFERROR(VLOOKUP(C212, ListOfSitesTable, 5, FALSE), "") &amp; " " &amp;
IFERROR(VLOOKUP(C212, ListOfSitesTable, 4, FALSE), "") &amp; " " &amp;
IFERROR(VLOOKUP(C212, ListOfSitesTable, 2, FALSE), ""))))</f>
        <v/>
      </c>
      <c r="E212" s="758"/>
      <c r="F212" s="759"/>
      <c r="G212" s="699"/>
      <c r="H212" s="700"/>
      <c r="I212" s="701"/>
      <c r="J212" s="243" t="b">
        <v>0</v>
      </c>
      <c r="K212" s="238" t="b">
        <v>0</v>
      </c>
      <c r="L212" s="17" t="str">
        <f t="shared" si="4"/>
        <v/>
      </c>
      <c r="M212" s="10"/>
      <c r="N212" s="10"/>
      <c r="O212" s="10"/>
      <c r="P212" s="10"/>
      <c r="Q212" s="10"/>
    </row>
    <row r="213" spans="3:17" hidden="1" outlineLevel="1" x14ac:dyDescent="0.3">
      <c r="C213" s="231"/>
      <c r="D213" s="757" t="str">
        <f>IF(C213 = "", "",
IF(COUNTIF($C$188:C212, C213), "VALUE INCONSISTENCY",
IF(AND(COUNTIF('General Information'!$C$450:$C$549, C213),
       INDEX('General Information'!$D$450:$D$549, MATCH(C213, 'General Information'!$C$450:$C$549, 0)) = ""),
   "VALUE INCONSISTENCY",
IFERROR(VLOOKUP(C213, ListOfSitesTable, 5, FALSE), "") &amp; " " &amp;
IFERROR(VLOOKUP(C213, ListOfSitesTable, 4, FALSE), "") &amp; " " &amp;
IFERROR(VLOOKUP(C213, ListOfSitesTable, 2, FALSE), ""))))</f>
        <v/>
      </c>
      <c r="E213" s="758"/>
      <c r="F213" s="759"/>
      <c r="G213" s="699"/>
      <c r="H213" s="700"/>
      <c r="I213" s="701"/>
      <c r="J213" s="243" t="b">
        <v>0</v>
      </c>
      <c r="K213" s="238" t="b">
        <v>0</v>
      </c>
      <c r="L213" s="17" t="str">
        <f t="shared" si="4"/>
        <v/>
      </c>
      <c r="M213" s="10"/>
      <c r="N213" s="10"/>
      <c r="O213" s="10"/>
      <c r="P213" s="10"/>
      <c r="Q213" s="10"/>
    </row>
    <row r="214" spans="3:17" hidden="1" outlineLevel="1" x14ac:dyDescent="0.3">
      <c r="C214" s="231"/>
      <c r="D214" s="757" t="str">
        <f>IF(C214 = "", "",
IF(COUNTIF($C$188:C213, C214), "VALUE INCONSISTENCY",
IF(AND(COUNTIF('General Information'!$C$450:$C$549, C214),
       INDEX('General Information'!$D$450:$D$549, MATCH(C214, 'General Information'!$C$450:$C$549, 0)) = ""),
   "VALUE INCONSISTENCY",
IFERROR(VLOOKUP(C214, ListOfSitesTable, 5, FALSE), "") &amp; " " &amp;
IFERROR(VLOOKUP(C214, ListOfSitesTable, 4, FALSE), "") &amp; " " &amp;
IFERROR(VLOOKUP(C214, ListOfSitesTable, 2, FALSE), ""))))</f>
        <v/>
      </c>
      <c r="E214" s="758"/>
      <c r="F214" s="759"/>
      <c r="G214" s="699"/>
      <c r="H214" s="700"/>
      <c r="I214" s="701"/>
      <c r="J214" s="243" t="b">
        <v>0</v>
      </c>
      <c r="K214" s="238" t="b">
        <v>0</v>
      </c>
      <c r="L214" s="17" t="str">
        <f t="shared" si="4"/>
        <v/>
      </c>
      <c r="M214" s="10"/>
      <c r="N214" s="10"/>
      <c r="O214" s="10"/>
      <c r="P214" s="10"/>
      <c r="Q214" s="10"/>
    </row>
    <row r="215" spans="3:17" hidden="1" outlineLevel="1" x14ac:dyDescent="0.3">
      <c r="C215" s="231"/>
      <c r="D215" s="757" t="str">
        <f>IF(C215 = "", "",
IF(COUNTIF($C$188:C214, C215), "VALUE INCONSISTENCY",
IF(AND(COUNTIF('General Information'!$C$450:$C$549, C215),
       INDEX('General Information'!$D$450:$D$549, MATCH(C215, 'General Information'!$C$450:$C$549, 0)) = ""),
   "VALUE INCONSISTENCY",
IFERROR(VLOOKUP(C215, ListOfSitesTable, 5, FALSE), "") &amp; " " &amp;
IFERROR(VLOOKUP(C215, ListOfSitesTable, 4, FALSE), "") &amp; " " &amp;
IFERROR(VLOOKUP(C215, ListOfSitesTable, 2, FALSE), ""))))</f>
        <v/>
      </c>
      <c r="E215" s="758"/>
      <c r="F215" s="759"/>
      <c r="G215" s="699"/>
      <c r="H215" s="700"/>
      <c r="I215" s="701"/>
      <c r="J215" s="243" t="b">
        <v>0</v>
      </c>
      <c r="K215" s="238" t="b">
        <v>0</v>
      </c>
      <c r="L215" s="17" t="str">
        <f t="shared" si="4"/>
        <v/>
      </c>
      <c r="M215" s="10"/>
      <c r="N215" s="10"/>
      <c r="O215" s="10"/>
      <c r="P215" s="10"/>
      <c r="Q215" s="10"/>
    </row>
    <row r="216" spans="3:17" hidden="1" outlineLevel="1" x14ac:dyDescent="0.3">
      <c r="C216" s="231"/>
      <c r="D216" s="757" t="str">
        <f>IF(C216 = "", "",
IF(COUNTIF($C$188:C215, C216), "VALUE INCONSISTENCY",
IF(AND(COUNTIF('General Information'!$C$450:$C$549, C216),
       INDEX('General Information'!$D$450:$D$549, MATCH(C216, 'General Information'!$C$450:$C$549, 0)) = ""),
   "VALUE INCONSISTENCY",
IFERROR(VLOOKUP(C216, ListOfSitesTable, 5, FALSE), "") &amp; " " &amp;
IFERROR(VLOOKUP(C216, ListOfSitesTable, 4, FALSE), "") &amp; " " &amp;
IFERROR(VLOOKUP(C216, ListOfSitesTable, 2, FALSE), ""))))</f>
        <v/>
      </c>
      <c r="E216" s="758"/>
      <c r="F216" s="759"/>
      <c r="G216" s="699"/>
      <c r="H216" s="700"/>
      <c r="I216" s="701"/>
      <c r="J216" s="243" t="b">
        <v>0</v>
      </c>
      <c r="K216" s="238" t="b">
        <v>0</v>
      </c>
      <c r="L216" s="17" t="str">
        <f t="shared" si="4"/>
        <v/>
      </c>
      <c r="M216" s="10"/>
      <c r="N216" s="10"/>
      <c r="O216" s="10"/>
      <c r="P216" s="10"/>
      <c r="Q216" s="10"/>
    </row>
    <row r="217" spans="3:17" hidden="1" outlineLevel="1" x14ac:dyDescent="0.3">
      <c r="C217" s="231"/>
      <c r="D217" s="757" t="str">
        <f>IF(C217 = "", "",
IF(COUNTIF($C$188:C216, C217), "VALUE INCONSISTENCY",
IF(AND(COUNTIF('General Information'!$C$450:$C$549, C217),
       INDEX('General Information'!$D$450:$D$549, MATCH(C217, 'General Information'!$C$450:$C$549, 0)) = ""),
   "VALUE INCONSISTENCY",
IFERROR(VLOOKUP(C217, ListOfSitesTable, 5, FALSE), "") &amp; " " &amp;
IFERROR(VLOOKUP(C217, ListOfSitesTable, 4, FALSE), "") &amp; " " &amp;
IFERROR(VLOOKUP(C217, ListOfSitesTable, 2, FALSE), ""))))</f>
        <v/>
      </c>
      <c r="E217" s="758"/>
      <c r="F217" s="759"/>
      <c r="G217" s="699"/>
      <c r="H217" s="700"/>
      <c r="I217" s="701"/>
      <c r="J217" s="243" t="b">
        <v>0</v>
      </c>
      <c r="K217" s="238" t="b">
        <v>0</v>
      </c>
      <c r="L217" s="17" t="str">
        <f t="shared" si="4"/>
        <v/>
      </c>
      <c r="M217" s="10"/>
      <c r="N217" s="10"/>
      <c r="O217" s="10"/>
      <c r="P217" s="10"/>
      <c r="Q217" s="10"/>
    </row>
    <row r="218" spans="3:17" hidden="1" outlineLevel="1" x14ac:dyDescent="0.3">
      <c r="C218" s="231"/>
      <c r="D218" s="757" t="str">
        <f>IF(C218 = "", "",
IF(COUNTIF($C$188:C217, C218), "VALUE INCONSISTENCY",
IF(AND(COUNTIF('General Information'!$C$450:$C$549, C218),
       INDEX('General Information'!$D$450:$D$549, MATCH(C218, 'General Information'!$C$450:$C$549, 0)) = ""),
   "VALUE INCONSISTENCY",
IFERROR(VLOOKUP(C218, ListOfSitesTable, 5, FALSE), "") &amp; " " &amp;
IFERROR(VLOOKUP(C218, ListOfSitesTable, 4, FALSE), "") &amp; " " &amp;
IFERROR(VLOOKUP(C218, ListOfSitesTable, 2, FALSE), ""))))</f>
        <v/>
      </c>
      <c r="E218" s="758"/>
      <c r="F218" s="759"/>
      <c r="G218" s="699"/>
      <c r="H218" s="700"/>
      <c r="I218" s="701"/>
      <c r="J218" s="243" t="b">
        <v>0</v>
      </c>
      <c r="K218" s="238" t="b">
        <v>0</v>
      </c>
      <c r="L218" s="17" t="str">
        <f t="shared" si="4"/>
        <v/>
      </c>
      <c r="M218" s="10"/>
      <c r="N218" s="10"/>
      <c r="O218" s="10"/>
      <c r="P218" s="10"/>
      <c r="Q218" s="10"/>
    </row>
    <row r="219" spans="3:17" hidden="1" outlineLevel="1" x14ac:dyDescent="0.3">
      <c r="C219" s="231"/>
      <c r="D219" s="757" t="str">
        <f>IF(C219 = "", "",
IF(COUNTIF($C$188:C218, C219), "VALUE INCONSISTENCY",
IF(AND(COUNTIF('General Information'!$C$450:$C$549, C219),
       INDEX('General Information'!$D$450:$D$549, MATCH(C219, 'General Information'!$C$450:$C$549, 0)) = ""),
   "VALUE INCONSISTENCY",
IFERROR(VLOOKUP(C219, ListOfSitesTable, 5, FALSE), "") &amp; " " &amp;
IFERROR(VLOOKUP(C219, ListOfSitesTable, 4, FALSE), "") &amp; " " &amp;
IFERROR(VLOOKUP(C219, ListOfSitesTable, 2, FALSE), ""))))</f>
        <v/>
      </c>
      <c r="E219" s="758"/>
      <c r="F219" s="759"/>
      <c r="G219" s="699"/>
      <c r="H219" s="700"/>
      <c r="I219" s="701"/>
      <c r="J219" s="243" t="b">
        <v>0</v>
      </c>
      <c r="K219" s="238" t="b">
        <v>0</v>
      </c>
      <c r="L219" s="17" t="str">
        <f t="shared" si="4"/>
        <v/>
      </c>
      <c r="M219" s="10"/>
      <c r="N219" s="10"/>
      <c r="O219" s="10"/>
      <c r="P219" s="10"/>
      <c r="Q219" s="10"/>
    </row>
    <row r="220" spans="3:17" hidden="1" outlineLevel="1" x14ac:dyDescent="0.3">
      <c r="C220" s="231"/>
      <c r="D220" s="757" t="str">
        <f>IF(C220 = "", "",
IF(COUNTIF($C$188:C219, C220), "VALUE INCONSISTENCY",
IF(AND(COUNTIF('General Information'!$C$450:$C$549, C220),
       INDEX('General Information'!$D$450:$D$549, MATCH(C220, 'General Information'!$C$450:$C$549, 0)) = ""),
   "VALUE INCONSISTENCY",
IFERROR(VLOOKUP(C220, ListOfSitesTable, 5, FALSE), "") &amp; " " &amp;
IFERROR(VLOOKUP(C220, ListOfSitesTable, 4, FALSE), "") &amp; " " &amp;
IFERROR(VLOOKUP(C220, ListOfSitesTable, 2, FALSE), ""))))</f>
        <v/>
      </c>
      <c r="E220" s="758"/>
      <c r="F220" s="759"/>
      <c r="G220" s="699"/>
      <c r="H220" s="700"/>
      <c r="I220" s="701"/>
      <c r="J220" s="243" t="b">
        <v>0</v>
      </c>
      <c r="K220" s="238" t="b">
        <v>0</v>
      </c>
      <c r="L220" s="17" t="str">
        <f t="shared" si="4"/>
        <v/>
      </c>
      <c r="M220" s="10"/>
      <c r="N220" s="10"/>
      <c r="O220" s="10"/>
      <c r="P220" s="10"/>
      <c r="Q220" s="10"/>
    </row>
    <row r="221" spans="3:17" hidden="1" outlineLevel="1" x14ac:dyDescent="0.3">
      <c r="C221" s="231"/>
      <c r="D221" s="757" t="str">
        <f>IF(C221 = "", "",
IF(COUNTIF($C$188:C220, C221), "VALUE INCONSISTENCY",
IF(AND(COUNTIF('General Information'!$C$450:$C$549, C221),
       INDEX('General Information'!$D$450:$D$549, MATCH(C221, 'General Information'!$C$450:$C$549, 0)) = ""),
   "VALUE INCONSISTENCY",
IFERROR(VLOOKUP(C221, ListOfSitesTable, 5, FALSE), "") &amp; " " &amp;
IFERROR(VLOOKUP(C221, ListOfSitesTable, 4, FALSE), "") &amp; " " &amp;
IFERROR(VLOOKUP(C221, ListOfSitesTable, 2, FALSE), ""))))</f>
        <v/>
      </c>
      <c r="E221" s="758"/>
      <c r="F221" s="759"/>
      <c r="G221" s="699"/>
      <c r="H221" s="700"/>
      <c r="I221" s="701"/>
      <c r="J221" s="243" t="b">
        <v>0</v>
      </c>
      <c r="K221" s="238" t="b">
        <v>0</v>
      </c>
      <c r="L221" s="17" t="str">
        <f t="shared" si="4"/>
        <v/>
      </c>
      <c r="M221" s="10"/>
      <c r="N221" s="10"/>
      <c r="O221" s="10"/>
      <c r="P221" s="10"/>
      <c r="Q221" s="10"/>
    </row>
    <row r="222" spans="3:17" hidden="1" outlineLevel="1" x14ac:dyDescent="0.3">
      <c r="C222" s="231"/>
      <c r="D222" s="757" t="str">
        <f>IF(C222 = "", "",
IF(COUNTIF($C$188:C221, C222), "VALUE INCONSISTENCY",
IF(AND(COUNTIF('General Information'!$C$450:$C$549, C222),
       INDEX('General Information'!$D$450:$D$549, MATCH(C222, 'General Information'!$C$450:$C$549, 0)) = ""),
   "VALUE INCONSISTENCY",
IFERROR(VLOOKUP(C222, ListOfSitesTable, 5, FALSE), "") &amp; " " &amp;
IFERROR(VLOOKUP(C222, ListOfSitesTable, 4, FALSE), "") &amp; " " &amp;
IFERROR(VLOOKUP(C222, ListOfSitesTable, 2, FALSE), ""))))</f>
        <v/>
      </c>
      <c r="E222" s="758"/>
      <c r="F222" s="759"/>
      <c r="G222" s="699"/>
      <c r="H222" s="700"/>
      <c r="I222" s="701"/>
      <c r="J222" s="243" t="b">
        <v>0</v>
      </c>
      <c r="K222" s="238" t="b">
        <v>0</v>
      </c>
      <c r="L222" s="17" t="str">
        <f t="shared" si="4"/>
        <v/>
      </c>
      <c r="M222" s="10"/>
      <c r="N222" s="10"/>
      <c r="O222" s="10"/>
      <c r="P222" s="10"/>
      <c r="Q222" s="10"/>
    </row>
    <row r="223" spans="3:17" hidden="1" outlineLevel="1" x14ac:dyDescent="0.3">
      <c r="C223" s="231"/>
      <c r="D223" s="757" t="str">
        <f>IF(C223 = "", "",
IF(COUNTIF($C$188:C222, C223), "VALUE INCONSISTENCY",
IF(AND(COUNTIF('General Information'!$C$450:$C$549, C223),
       INDEX('General Information'!$D$450:$D$549, MATCH(C223, 'General Information'!$C$450:$C$549, 0)) = ""),
   "VALUE INCONSISTENCY",
IFERROR(VLOOKUP(C223, ListOfSitesTable, 5, FALSE), "") &amp; " " &amp;
IFERROR(VLOOKUP(C223, ListOfSitesTable, 4, FALSE), "") &amp; " " &amp;
IFERROR(VLOOKUP(C223, ListOfSitesTable, 2, FALSE), ""))))</f>
        <v/>
      </c>
      <c r="E223" s="758"/>
      <c r="F223" s="759"/>
      <c r="G223" s="699"/>
      <c r="H223" s="700"/>
      <c r="I223" s="701"/>
      <c r="J223" s="243" t="b">
        <v>0</v>
      </c>
      <c r="K223" s="238" t="b">
        <v>0</v>
      </c>
      <c r="L223" s="17" t="str">
        <f t="shared" si="4"/>
        <v/>
      </c>
      <c r="M223" s="10"/>
      <c r="N223" s="10"/>
      <c r="O223" s="10"/>
      <c r="P223" s="10"/>
      <c r="Q223" s="10"/>
    </row>
    <row r="224" spans="3:17" hidden="1" outlineLevel="1" x14ac:dyDescent="0.3">
      <c r="C224" s="231"/>
      <c r="D224" s="757" t="str">
        <f>IF(C224 = "", "",
IF(COUNTIF($C$188:C223, C224), "VALUE INCONSISTENCY",
IF(AND(COUNTIF('General Information'!$C$450:$C$549, C224),
       INDEX('General Information'!$D$450:$D$549, MATCH(C224, 'General Information'!$C$450:$C$549, 0)) = ""),
   "VALUE INCONSISTENCY",
IFERROR(VLOOKUP(C224, ListOfSitesTable, 5, FALSE), "") &amp; " " &amp;
IFERROR(VLOOKUP(C224, ListOfSitesTable, 4, FALSE), "") &amp; " " &amp;
IFERROR(VLOOKUP(C224, ListOfSitesTable, 2, FALSE), ""))))</f>
        <v/>
      </c>
      <c r="E224" s="758"/>
      <c r="F224" s="759"/>
      <c r="G224" s="699"/>
      <c r="H224" s="700"/>
      <c r="I224" s="701"/>
      <c r="J224" s="243" t="b">
        <v>0</v>
      </c>
      <c r="K224" s="238" t="b">
        <v>0</v>
      </c>
      <c r="L224" s="17" t="str">
        <f t="shared" si="4"/>
        <v/>
      </c>
      <c r="M224" s="10"/>
      <c r="N224" s="10"/>
      <c r="O224" s="10"/>
      <c r="P224" s="10"/>
      <c r="Q224" s="10"/>
    </row>
    <row r="225" spans="3:17" hidden="1" outlineLevel="1" x14ac:dyDescent="0.3">
      <c r="C225" s="231"/>
      <c r="D225" s="757" t="str">
        <f>IF(C225 = "", "",
IF(COUNTIF($C$188:C224, C225), "VALUE INCONSISTENCY",
IF(AND(COUNTIF('General Information'!$C$450:$C$549, C225),
       INDEX('General Information'!$D$450:$D$549, MATCH(C225, 'General Information'!$C$450:$C$549, 0)) = ""),
   "VALUE INCONSISTENCY",
IFERROR(VLOOKUP(C225, ListOfSitesTable, 5, FALSE), "") &amp; " " &amp;
IFERROR(VLOOKUP(C225, ListOfSitesTable, 4, FALSE), "") &amp; " " &amp;
IFERROR(VLOOKUP(C225, ListOfSitesTable, 2, FALSE), ""))))</f>
        <v/>
      </c>
      <c r="E225" s="758"/>
      <c r="F225" s="759"/>
      <c r="G225" s="699"/>
      <c r="H225" s="700"/>
      <c r="I225" s="701"/>
      <c r="J225" s="243" t="b">
        <v>0</v>
      </c>
      <c r="K225" s="238" t="b">
        <v>0</v>
      </c>
      <c r="L225" s="17" t="str">
        <f t="shared" si="4"/>
        <v/>
      </c>
      <c r="M225" s="10"/>
      <c r="N225" s="10"/>
      <c r="O225" s="10"/>
      <c r="P225" s="10"/>
      <c r="Q225" s="10"/>
    </row>
    <row r="226" spans="3:17" hidden="1" outlineLevel="1" x14ac:dyDescent="0.3">
      <c r="C226" s="231"/>
      <c r="D226" s="757" t="str">
        <f>IF(C226 = "", "",
IF(COUNTIF($C$188:C225, C226), "VALUE INCONSISTENCY",
IF(AND(COUNTIF('General Information'!$C$450:$C$549, C226),
       INDEX('General Information'!$D$450:$D$549, MATCH(C226, 'General Information'!$C$450:$C$549, 0)) = ""),
   "VALUE INCONSISTENCY",
IFERROR(VLOOKUP(C226, ListOfSitesTable, 5, FALSE), "") &amp; " " &amp;
IFERROR(VLOOKUP(C226, ListOfSitesTable, 4, FALSE), "") &amp; " " &amp;
IFERROR(VLOOKUP(C226, ListOfSitesTable, 2, FALSE), ""))))</f>
        <v/>
      </c>
      <c r="E226" s="758"/>
      <c r="F226" s="759"/>
      <c r="G226" s="699"/>
      <c r="H226" s="700"/>
      <c r="I226" s="701"/>
      <c r="J226" s="243" t="b">
        <v>0</v>
      </c>
      <c r="K226" s="238" t="b">
        <v>0</v>
      </c>
      <c r="L226" s="17" t="str">
        <f t="shared" si="4"/>
        <v/>
      </c>
      <c r="M226" s="10"/>
      <c r="N226" s="10"/>
      <c r="O226" s="10"/>
      <c r="P226" s="10"/>
      <c r="Q226" s="10"/>
    </row>
    <row r="227" spans="3:17" hidden="1" outlineLevel="1" x14ac:dyDescent="0.3">
      <c r="C227" s="231"/>
      <c r="D227" s="757" t="str">
        <f>IF(C227 = "", "",
IF(COUNTIF($C$188:C226, C227), "VALUE INCONSISTENCY",
IF(AND(COUNTIF('General Information'!$C$450:$C$549, C227),
       INDEX('General Information'!$D$450:$D$549, MATCH(C227, 'General Information'!$C$450:$C$549, 0)) = ""),
   "VALUE INCONSISTENCY",
IFERROR(VLOOKUP(C227, ListOfSitesTable, 5, FALSE), "") &amp; " " &amp;
IFERROR(VLOOKUP(C227, ListOfSitesTable, 4, FALSE), "") &amp; " " &amp;
IFERROR(VLOOKUP(C227, ListOfSitesTable, 2, FALSE), ""))))</f>
        <v/>
      </c>
      <c r="E227" s="758"/>
      <c r="F227" s="759"/>
      <c r="G227" s="699"/>
      <c r="H227" s="700"/>
      <c r="I227" s="701"/>
      <c r="J227" s="243" t="b">
        <v>0</v>
      </c>
      <c r="K227" s="238" t="b">
        <v>0</v>
      </c>
      <c r="L227" s="17" t="str">
        <f t="shared" si="4"/>
        <v/>
      </c>
      <c r="M227" s="10"/>
      <c r="N227" s="10"/>
      <c r="O227" s="10"/>
      <c r="P227" s="10"/>
      <c r="Q227" s="10"/>
    </row>
    <row r="228" spans="3:17" hidden="1" outlineLevel="1" x14ac:dyDescent="0.3">
      <c r="C228" s="231"/>
      <c r="D228" s="757" t="str">
        <f>IF(C228 = "", "",
IF(COUNTIF($C$188:C227, C228), "VALUE INCONSISTENCY",
IF(AND(COUNTIF('General Information'!$C$450:$C$549, C228),
       INDEX('General Information'!$D$450:$D$549, MATCH(C228, 'General Information'!$C$450:$C$549, 0)) = ""),
   "VALUE INCONSISTENCY",
IFERROR(VLOOKUP(C228, ListOfSitesTable, 5, FALSE), "") &amp; " " &amp;
IFERROR(VLOOKUP(C228, ListOfSitesTable, 4, FALSE), "") &amp; " " &amp;
IFERROR(VLOOKUP(C228, ListOfSitesTable, 2, FALSE), ""))))</f>
        <v/>
      </c>
      <c r="E228" s="758"/>
      <c r="F228" s="759"/>
      <c r="G228" s="699"/>
      <c r="H228" s="700"/>
      <c r="I228" s="701"/>
      <c r="J228" s="243" t="b">
        <v>0</v>
      </c>
      <c r="K228" s="238" t="b">
        <v>0</v>
      </c>
      <c r="L228" s="17" t="str">
        <f t="shared" si="4"/>
        <v/>
      </c>
      <c r="M228" s="10"/>
      <c r="N228" s="10"/>
      <c r="O228" s="10"/>
      <c r="P228" s="10"/>
      <c r="Q228" s="10"/>
    </row>
    <row r="229" spans="3:17" hidden="1" outlineLevel="1" x14ac:dyDescent="0.3">
      <c r="C229" s="231"/>
      <c r="D229" s="757" t="str">
        <f>IF(C229 = "", "",
IF(COUNTIF($C$188:C228, C229), "VALUE INCONSISTENCY",
IF(AND(COUNTIF('General Information'!$C$450:$C$549, C229),
       INDEX('General Information'!$D$450:$D$549, MATCH(C229, 'General Information'!$C$450:$C$549, 0)) = ""),
   "VALUE INCONSISTENCY",
IFERROR(VLOOKUP(C229, ListOfSitesTable, 5, FALSE), "") &amp; " " &amp;
IFERROR(VLOOKUP(C229, ListOfSitesTable, 4, FALSE), "") &amp; " " &amp;
IFERROR(VLOOKUP(C229, ListOfSitesTable, 2, FALSE), ""))))</f>
        <v/>
      </c>
      <c r="E229" s="758"/>
      <c r="F229" s="759"/>
      <c r="G229" s="699"/>
      <c r="H229" s="700"/>
      <c r="I229" s="701"/>
      <c r="J229" s="243" t="b">
        <v>0</v>
      </c>
      <c r="K229" s="238" t="b">
        <v>0</v>
      </c>
      <c r="L229" s="17" t="str">
        <f t="shared" si="4"/>
        <v/>
      </c>
      <c r="M229" s="10"/>
      <c r="N229" s="10"/>
      <c r="O229" s="10"/>
      <c r="P229" s="10"/>
      <c r="Q229" s="10"/>
    </row>
    <row r="230" spans="3:17" hidden="1" outlineLevel="1" x14ac:dyDescent="0.3">
      <c r="C230" s="231"/>
      <c r="D230" s="757" t="str">
        <f>IF(C230 = "", "",
IF(COUNTIF($C$188:C229, C230), "VALUE INCONSISTENCY",
IF(AND(COUNTIF('General Information'!$C$450:$C$549, C230),
       INDEX('General Information'!$D$450:$D$549, MATCH(C230, 'General Information'!$C$450:$C$549, 0)) = ""),
   "VALUE INCONSISTENCY",
IFERROR(VLOOKUP(C230, ListOfSitesTable, 5, FALSE), "") &amp; " " &amp;
IFERROR(VLOOKUP(C230, ListOfSitesTable, 4, FALSE), "") &amp; " " &amp;
IFERROR(VLOOKUP(C230, ListOfSitesTable, 2, FALSE), ""))))</f>
        <v/>
      </c>
      <c r="E230" s="758"/>
      <c r="F230" s="759"/>
      <c r="G230" s="699"/>
      <c r="H230" s="700"/>
      <c r="I230" s="701"/>
      <c r="J230" s="243" t="b">
        <v>0</v>
      </c>
      <c r="K230" s="238" t="b">
        <v>0</v>
      </c>
      <c r="L230" s="17" t="str">
        <f t="shared" si="4"/>
        <v/>
      </c>
      <c r="M230" s="10"/>
      <c r="N230" s="10"/>
      <c r="O230" s="10"/>
      <c r="P230" s="10"/>
      <c r="Q230" s="10"/>
    </row>
    <row r="231" spans="3:17" hidden="1" outlineLevel="1" x14ac:dyDescent="0.3">
      <c r="C231" s="231"/>
      <c r="D231" s="757" t="str">
        <f>IF(C231 = "", "",
IF(COUNTIF($C$188:C230, C231), "VALUE INCONSISTENCY",
IF(AND(COUNTIF('General Information'!$C$450:$C$549, C231),
       INDEX('General Information'!$D$450:$D$549, MATCH(C231, 'General Information'!$C$450:$C$549, 0)) = ""),
   "VALUE INCONSISTENCY",
IFERROR(VLOOKUP(C231, ListOfSitesTable, 5, FALSE), "") &amp; " " &amp;
IFERROR(VLOOKUP(C231, ListOfSitesTable, 4, FALSE), "") &amp; " " &amp;
IFERROR(VLOOKUP(C231, ListOfSitesTable, 2, FALSE), ""))))</f>
        <v/>
      </c>
      <c r="E231" s="758"/>
      <c r="F231" s="759"/>
      <c r="G231" s="699"/>
      <c r="H231" s="700"/>
      <c r="I231" s="701"/>
      <c r="J231" s="243" t="b">
        <v>0</v>
      </c>
      <c r="K231" s="238" t="b">
        <v>0</v>
      </c>
      <c r="L231" s="17" t="str">
        <f t="shared" si="4"/>
        <v/>
      </c>
      <c r="M231" s="10"/>
      <c r="N231" s="10"/>
      <c r="O231" s="10"/>
      <c r="P231" s="10"/>
      <c r="Q231" s="10"/>
    </row>
    <row r="232" spans="3:17" hidden="1" outlineLevel="1" x14ac:dyDescent="0.3">
      <c r="C232" s="231"/>
      <c r="D232" s="757" t="str">
        <f>IF(C232 = "", "",
IF(COUNTIF($C$188:C231, C232), "VALUE INCONSISTENCY",
IF(AND(COUNTIF('General Information'!$C$450:$C$549, C232),
       INDEX('General Information'!$D$450:$D$549, MATCH(C232, 'General Information'!$C$450:$C$549, 0)) = ""),
   "VALUE INCONSISTENCY",
IFERROR(VLOOKUP(C232, ListOfSitesTable, 5, FALSE), "") &amp; " " &amp;
IFERROR(VLOOKUP(C232, ListOfSitesTable, 4, FALSE), "") &amp; " " &amp;
IFERROR(VLOOKUP(C232, ListOfSitesTable, 2, FALSE), ""))))</f>
        <v/>
      </c>
      <c r="E232" s="758"/>
      <c r="F232" s="759"/>
      <c r="G232" s="699"/>
      <c r="H232" s="700"/>
      <c r="I232" s="701"/>
      <c r="J232" s="243" t="b">
        <v>0</v>
      </c>
      <c r="K232" s="238" t="b">
        <v>0</v>
      </c>
      <c r="L232" s="17" t="str">
        <f t="shared" si="4"/>
        <v/>
      </c>
      <c r="M232" s="10"/>
      <c r="N232" s="10"/>
      <c r="O232" s="10"/>
      <c r="P232" s="10"/>
      <c r="Q232" s="10"/>
    </row>
    <row r="233" spans="3:17" hidden="1" outlineLevel="1" x14ac:dyDescent="0.3">
      <c r="C233" s="231"/>
      <c r="D233" s="757" t="str">
        <f>IF(C233 = "", "",
IF(COUNTIF($C$188:C232, C233), "VALUE INCONSISTENCY",
IF(AND(COUNTIF('General Information'!$C$450:$C$549, C233),
       INDEX('General Information'!$D$450:$D$549, MATCH(C233, 'General Information'!$C$450:$C$549, 0)) = ""),
   "VALUE INCONSISTENCY",
IFERROR(VLOOKUP(C233, ListOfSitesTable, 5, FALSE), "") &amp; " " &amp;
IFERROR(VLOOKUP(C233, ListOfSitesTable, 4, FALSE), "") &amp; " " &amp;
IFERROR(VLOOKUP(C233, ListOfSitesTable, 2, FALSE), ""))))</f>
        <v/>
      </c>
      <c r="E233" s="758"/>
      <c r="F233" s="759"/>
      <c r="G233" s="699"/>
      <c r="H233" s="700"/>
      <c r="I233" s="701"/>
      <c r="J233" s="243" t="b">
        <v>0</v>
      </c>
      <c r="K233" s="238" t="b">
        <v>0</v>
      </c>
      <c r="L233" s="17" t="str">
        <f t="shared" si="4"/>
        <v/>
      </c>
      <c r="M233" s="10"/>
      <c r="N233" s="10"/>
      <c r="O233" s="10"/>
      <c r="P233" s="10"/>
      <c r="Q233" s="10"/>
    </row>
    <row r="234" spans="3:17" hidden="1" outlineLevel="1" x14ac:dyDescent="0.3">
      <c r="C234" s="231"/>
      <c r="D234" s="757" t="str">
        <f>IF(C234 = "", "",
IF(COUNTIF($C$188:C233, C234), "VALUE INCONSISTENCY",
IF(AND(COUNTIF('General Information'!$C$450:$C$549, C234),
       INDEX('General Information'!$D$450:$D$549, MATCH(C234, 'General Information'!$C$450:$C$549, 0)) = ""),
   "VALUE INCONSISTENCY",
IFERROR(VLOOKUP(C234, ListOfSitesTable, 5, FALSE), "") &amp; " " &amp;
IFERROR(VLOOKUP(C234, ListOfSitesTable, 4, FALSE), "") &amp; " " &amp;
IFERROR(VLOOKUP(C234, ListOfSitesTable, 2, FALSE), ""))))</f>
        <v/>
      </c>
      <c r="E234" s="758"/>
      <c r="F234" s="759"/>
      <c r="G234" s="699"/>
      <c r="H234" s="700"/>
      <c r="I234" s="701"/>
      <c r="J234" s="243" t="b">
        <v>0</v>
      </c>
      <c r="K234" s="238" t="b">
        <v>0</v>
      </c>
      <c r="L234" s="17" t="str">
        <f t="shared" si="4"/>
        <v/>
      </c>
      <c r="M234" s="10"/>
      <c r="N234" s="10"/>
      <c r="O234" s="10"/>
      <c r="P234" s="10"/>
      <c r="Q234" s="10"/>
    </row>
    <row r="235" spans="3:17" hidden="1" outlineLevel="1" x14ac:dyDescent="0.3">
      <c r="C235" s="231"/>
      <c r="D235" s="757" t="str">
        <f>IF(C235 = "", "",
IF(COUNTIF($C$188:C234, C235), "VALUE INCONSISTENCY",
IF(AND(COUNTIF('General Information'!$C$450:$C$549, C235),
       INDEX('General Information'!$D$450:$D$549, MATCH(C235, 'General Information'!$C$450:$C$549, 0)) = ""),
   "VALUE INCONSISTENCY",
IFERROR(VLOOKUP(C235, ListOfSitesTable, 5, FALSE), "") &amp; " " &amp;
IFERROR(VLOOKUP(C235, ListOfSitesTable, 4, FALSE), "") &amp; " " &amp;
IFERROR(VLOOKUP(C235, ListOfSitesTable, 2, FALSE), ""))))</f>
        <v/>
      </c>
      <c r="E235" s="758"/>
      <c r="F235" s="759"/>
      <c r="G235" s="699"/>
      <c r="H235" s="700"/>
      <c r="I235" s="701"/>
      <c r="J235" s="243" t="b">
        <v>0</v>
      </c>
      <c r="K235" s="238" t="b">
        <v>0</v>
      </c>
      <c r="L235" s="17" t="str">
        <f t="shared" si="4"/>
        <v/>
      </c>
      <c r="M235" s="10"/>
      <c r="N235" s="10"/>
      <c r="O235" s="10"/>
      <c r="P235" s="10"/>
      <c r="Q235" s="10"/>
    </row>
    <row r="236" spans="3:17" hidden="1" outlineLevel="1" x14ac:dyDescent="0.3">
      <c r="C236" s="231"/>
      <c r="D236" s="757" t="str">
        <f>IF(C236 = "", "",
IF(COUNTIF($C$188:C235, C236), "VALUE INCONSISTENCY",
IF(AND(COUNTIF('General Information'!$C$450:$C$549, C236),
       INDEX('General Information'!$D$450:$D$549, MATCH(C236, 'General Information'!$C$450:$C$549, 0)) = ""),
   "VALUE INCONSISTENCY",
IFERROR(VLOOKUP(C236, ListOfSitesTable, 5, FALSE), "") &amp; " " &amp;
IFERROR(VLOOKUP(C236, ListOfSitesTable, 4, FALSE), "") &amp; " " &amp;
IFERROR(VLOOKUP(C236, ListOfSitesTable, 2, FALSE), ""))))</f>
        <v/>
      </c>
      <c r="E236" s="758"/>
      <c r="F236" s="759"/>
      <c r="G236" s="699"/>
      <c r="H236" s="700"/>
      <c r="I236" s="701"/>
      <c r="J236" s="243" t="b">
        <v>0</v>
      </c>
      <c r="K236" s="238" t="b">
        <v>0</v>
      </c>
      <c r="L236" s="17" t="str">
        <f t="shared" si="4"/>
        <v/>
      </c>
      <c r="M236" s="10"/>
      <c r="N236" s="10"/>
      <c r="O236" s="10"/>
      <c r="P236" s="10"/>
      <c r="Q236" s="10"/>
    </row>
    <row r="237" spans="3:17" hidden="1" outlineLevel="1" x14ac:dyDescent="0.3">
      <c r="C237" s="231"/>
      <c r="D237" s="757" t="str">
        <f>IF(C237 = "", "",
IF(COUNTIF($C$188:C236, C237), "VALUE INCONSISTENCY",
IF(AND(COUNTIF('General Information'!$C$450:$C$549, C237),
       INDEX('General Information'!$D$450:$D$549, MATCH(C237, 'General Information'!$C$450:$C$549, 0)) = ""),
   "VALUE INCONSISTENCY",
IFERROR(VLOOKUP(C237, ListOfSitesTable, 5, FALSE), "") &amp; " " &amp;
IFERROR(VLOOKUP(C237, ListOfSitesTable, 4, FALSE), "") &amp; " " &amp;
IFERROR(VLOOKUP(C237, ListOfSitesTable, 2, FALSE), ""))))</f>
        <v/>
      </c>
      <c r="E237" s="758"/>
      <c r="F237" s="759"/>
      <c r="G237" s="699"/>
      <c r="H237" s="700"/>
      <c r="I237" s="701"/>
      <c r="J237" s="243" t="b">
        <v>0</v>
      </c>
      <c r="K237" s="238" t="b">
        <v>0</v>
      </c>
      <c r="L237" s="17" t="str">
        <f t="shared" si="4"/>
        <v/>
      </c>
      <c r="M237" s="10"/>
      <c r="N237" s="10"/>
      <c r="O237" s="10"/>
      <c r="P237" s="10"/>
      <c r="Q237" s="10"/>
    </row>
    <row r="238" spans="3:17" hidden="1" outlineLevel="1" x14ac:dyDescent="0.3">
      <c r="C238" s="231"/>
      <c r="D238" s="757" t="str">
        <f>IF(C238 = "", "",
IF(COUNTIF($C$188:C237, C238), "VALUE INCONSISTENCY",
IF(AND(COUNTIF('General Information'!$C$450:$C$549, C238),
       INDEX('General Information'!$D$450:$D$549, MATCH(C238, 'General Information'!$C$450:$C$549, 0)) = ""),
   "VALUE INCONSISTENCY",
IFERROR(VLOOKUP(C238, ListOfSitesTable, 5, FALSE), "") &amp; " " &amp;
IFERROR(VLOOKUP(C238, ListOfSitesTable, 4, FALSE), "") &amp; " " &amp;
IFERROR(VLOOKUP(C238, ListOfSitesTable, 2, FALSE), ""))))</f>
        <v/>
      </c>
      <c r="E238" s="758"/>
      <c r="F238" s="759"/>
      <c r="G238" s="699"/>
      <c r="H238" s="700"/>
      <c r="I238" s="701"/>
      <c r="J238" s="243" t="b">
        <v>0</v>
      </c>
      <c r="K238" s="238" t="b">
        <v>0</v>
      </c>
      <c r="L238" s="17" t="str">
        <f t="shared" si="4"/>
        <v/>
      </c>
      <c r="M238" s="10"/>
      <c r="N238" s="10"/>
      <c r="O238" s="10"/>
      <c r="P238" s="10"/>
      <c r="Q238" s="10"/>
    </row>
    <row r="239" spans="3:17" hidden="1" outlineLevel="1" x14ac:dyDescent="0.3">
      <c r="C239" s="231"/>
      <c r="D239" s="757" t="str">
        <f>IF(C239 = "", "",
IF(COUNTIF($C$188:C238, C239), "VALUE INCONSISTENCY",
IF(AND(COUNTIF('General Information'!$C$450:$C$549, C239),
       INDEX('General Information'!$D$450:$D$549, MATCH(C239, 'General Information'!$C$450:$C$549, 0)) = ""),
   "VALUE INCONSISTENCY",
IFERROR(VLOOKUP(C239, ListOfSitesTable, 5, FALSE), "") &amp; " " &amp;
IFERROR(VLOOKUP(C239, ListOfSitesTable, 4, FALSE), "") &amp; " " &amp;
IFERROR(VLOOKUP(C239, ListOfSitesTable, 2, FALSE), ""))))</f>
        <v/>
      </c>
      <c r="E239" s="758"/>
      <c r="F239" s="759"/>
      <c r="G239" s="699"/>
      <c r="H239" s="700"/>
      <c r="I239" s="701"/>
      <c r="J239" s="243" t="b">
        <v>0</v>
      </c>
      <c r="K239" s="238" t="b">
        <v>0</v>
      </c>
      <c r="L239" s="17" t="str">
        <f t="shared" si="4"/>
        <v/>
      </c>
      <c r="M239" s="10"/>
      <c r="N239" s="10"/>
      <c r="O239" s="10"/>
      <c r="P239" s="10"/>
      <c r="Q239" s="10"/>
    </row>
    <row r="240" spans="3:17" hidden="1" outlineLevel="1" x14ac:dyDescent="0.3">
      <c r="C240" s="231"/>
      <c r="D240" s="757" t="str">
        <f>IF(C240 = "", "",
IF(COUNTIF($C$188:C239, C240), "VALUE INCONSISTENCY",
IF(AND(COUNTIF('General Information'!$C$450:$C$549, C240),
       INDEX('General Information'!$D$450:$D$549, MATCH(C240, 'General Information'!$C$450:$C$549, 0)) = ""),
   "VALUE INCONSISTENCY",
IFERROR(VLOOKUP(C240, ListOfSitesTable, 5, FALSE), "") &amp; " " &amp;
IFERROR(VLOOKUP(C240, ListOfSitesTable, 4, FALSE), "") &amp; " " &amp;
IFERROR(VLOOKUP(C240, ListOfSitesTable, 2, FALSE), ""))))</f>
        <v/>
      </c>
      <c r="E240" s="758"/>
      <c r="F240" s="759"/>
      <c r="G240" s="699"/>
      <c r="H240" s="700"/>
      <c r="I240" s="701"/>
      <c r="J240" s="243" t="b">
        <v>0</v>
      </c>
      <c r="K240" s="238" t="b">
        <v>0</v>
      </c>
      <c r="L240" s="17" t="str">
        <f t="shared" si="4"/>
        <v/>
      </c>
      <c r="M240" s="10"/>
      <c r="N240" s="10"/>
      <c r="O240" s="10"/>
      <c r="P240" s="10"/>
      <c r="Q240" s="10"/>
    </row>
    <row r="241" spans="3:17" hidden="1" outlineLevel="1" x14ac:dyDescent="0.3">
      <c r="C241" s="231"/>
      <c r="D241" s="757" t="str">
        <f>IF(C241 = "", "",
IF(COUNTIF($C$188:C240, C241), "VALUE INCONSISTENCY",
IF(AND(COUNTIF('General Information'!$C$450:$C$549, C241),
       INDEX('General Information'!$D$450:$D$549, MATCH(C241, 'General Information'!$C$450:$C$549, 0)) = ""),
   "VALUE INCONSISTENCY",
IFERROR(VLOOKUP(C241, ListOfSitesTable, 5, FALSE), "") &amp; " " &amp;
IFERROR(VLOOKUP(C241, ListOfSitesTable, 4, FALSE), "") &amp; " " &amp;
IFERROR(VLOOKUP(C241, ListOfSitesTable, 2, FALSE), ""))))</f>
        <v/>
      </c>
      <c r="E241" s="758"/>
      <c r="F241" s="759"/>
      <c r="G241" s="699"/>
      <c r="H241" s="700"/>
      <c r="I241" s="701"/>
      <c r="J241" s="243" t="b">
        <v>0</v>
      </c>
      <c r="K241" s="238" t="b">
        <v>0</v>
      </c>
      <c r="L241" s="17" t="str">
        <f t="shared" si="4"/>
        <v/>
      </c>
      <c r="M241" s="10"/>
      <c r="N241" s="10"/>
      <c r="O241" s="10"/>
      <c r="P241" s="10"/>
      <c r="Q241" s="10"/>
    </row>
    <row r="242" spans="3:17" hidden="1" outlineLevel="1" x14ac:dyDescent="0.3">
      <c r="C242" s="231"/>
      <c r="D242" s="757" t="str">
        <f>IF(C242 = "", "",
IF(COUNTIF($C$188:C241, C242), "VALUE INCONSISTENCY",
IF(AND(COUNTIF('General Information'!$C$450:$C$549, C242),
       INDEX('General Information'!$D$450:$D$549, MATCH(C242, 'General Information'!$C$450:$C$549, 0)) = ""),
   "VALUE INCONSISTENCY",
IFERROR(VLOOKUP(C242, ListOfSitesTable, 5, FALSE), "") &amp; " " &amp;
IFERROR(VLOOKUP(C242, ListOfSitesTable, 4, FALSE), "") &amp; " " &amp;
IFERROR(VLOOKUP(C242, ListOfSitesTable, 2, FALSE), ""))))</f>
        <v/>
      </c>
      <c r="E242" s="758"/>
      <c r="F242" s="759"/>
      <c r="G242" s="699"/>
      <c r="H242" s="700"/>
      <c r="I242" s="701"/>
      <c r="J242" s="243" t="b">
        <v>0</v>
      </c>
      <c r="K242" s="238" t="b">
        <v>0</v>
      </c>
      <c r="L242" s="17" t="str">
        <f t="shared" si="4"/>
        <v/>
      </c>
      <c r="M242" s="10"/>
      <c r="N242" s="10"/>
      <c r="O242" s="10"/>
      <c r="P242" s="10"/>
      <c r="Q242" s="10"/>
    </row>
    <row r="243" spans="3:17" hidden="1" outlineLevel="1" x14ac:dyDescent="0.3">
      <c r="C243" s="231"/>
      <c r="D243" s="757" t="str">
        <f>IF(C243 = "", "",
IF(COUNTIF($C$188:C242, C243), "VALUE INCONSISTENCY",
IF(AND(COUNTIF('General Information'!$C$450:$C$549, C243),
       INDEX('General Information'!$D$450:$D$549, MATCH(C243, 'General Information'!$C$450:$C$549, 0)) = ""),
   "VALUE INCONSISTENCY",
IFERROR(VLOOKUP(C243, ListOfSitesTable, 5, FALSE), "") &amp; " " &amp;
IFERROR(VLOOKUP(C243, ListOfSitesTable, 4, FALSE), "") &amp; " " &amp;
IFERROR(VLOOKUP(C243, ListOfSitesTable, 2, FALSE), ""))))</f>
        <v/>
      </c>
      <c r="E243" s="758"/>
      <c r="F243" s="759"/>
      <c r="G243" s="699"/>
      <c r="H243" s="700"/>
      <c r="I243" s="701"/>
      <c r="J243" s="243" t="b">
        <v>0</v>
      </c>
      <c r="K243" s="238" t="b">
        <v>0</v>
      </c>
      <c r="L243" s="17" t="str">
        <f t="shared" si="4"/>
        <v/>
      </c>
      <c r="M243" s="10"/>
      <c r="N243" s="10"/>
      <c r="O243" s="10"/>
      <c r="P243" s="10"/>
      <c r="Q243" s="10"/>
    </row>
    <row r="244" spans="3:17" hidden="1" outlineLevel="1" x14ac:dyDescent="0.3">
      <c r="C244" s="231"/>
      <c r="D244" s="757" t="str">
        <f>IF(C244 = "", "",
IF(COUNTIF($C$188:C243, C244), "VALUE INCONSISTENCY",
IF(AND(COUNTIF('General Information'!$C$450:$C$549, C244),
       INDEX('General Information'!$D$450:$D$549, MATCH(C244, 'General Information'!$C$450:$C$549, 0)) = ""),
   "VALUE INCONSISTENCY",
IFERROR(VLOOKUP(C244, ListOfSitesTable, 5, FALSE), "") &amp; " " &amp;
IFERROR(VLOOKUP(C244, ListOfSitesTable, 4, FALSE), "") &amp; " " &amp;
IFERROR(VLOOKUP(C244, ListOfSitesTable, 2, FALSE), ""))))</f>
        <v/>
      </c>
      <c r="E244" s="758"/>
      <c r="F244" s="759"/>
      <c r="G244" s="699"/>
      <c r="H244" s="700"/>
      <c r="I244" s="701"/>
      <c r="J244" s="243" t="b">
        <v>0</v>
      </c>
      <c r="K244" s="238" t="b">
        <v>0</v>
      </c>
      <c r="L244" s="17" t="str">
        <f t="shared" si="4"/>
        <v/>
      </c>
      <c r="M244" s="10"/>
      <c r="N244" s="10"/>
      <c r="O244" s="10"/>
      <c r="P244" s="10"/>
      <c r="Q244" s="10"/>
    </row>
    <row r="245" spans="3:17" hidden="1" outlineLevel="1" x14ac:dyDescent="0.3">
      <c r="C245" s="231"/>
      <c r="D245" s="757" t="str">
        <f>IF(C245 = "", "",
IF(COUNTIF($C$188:C244, C245), "VALUE INCONSISTENCY",
IF(AND(COUNTIF('General Information'!$C$450:$C$549, C245),
       INDEX('General Information'!$D$450:$D$549, MATCH(C245, 'General Information'!$C$450:$C$549, 0)) = ""),
   "VALUE INCONSISTENCY",
IFERROR(VLOOKUP(C245, ListOfSitesTable, 5, FALSE), "") &amp; " " &amp;
IFERROR(VLOOKUP(C245, ListOfSitesTable, 4, FALSE), "") &amp; " " &amp;
IFERROR(VLOOKUP(C245, ListOfSitesTable, 2, FALSE), ""))))</f>
        <v/>
      </c>
      <c r="E245" s="758"/>
      <c r="F245" s="759"/>
      <c r="G245" s="699"/>
      <c r="H245" s="700"/>
      <c r="I245" s="701"/>
      <c r="J245" s="243" t="b">
        <v>0</v>
      </c>
      <c r="K245" s="238" t="b">
        <v>0</v>
      </c>
      <c r="L245" s="17" t="str">
        <f t="shared" si="4"/>
        <v/>
      </c>
      <c r="M245" s="10"/>
      <c r="N245" s="10"/>
      <c r="O245" s="10"/>
      <c r="P245" s="10"/>
      <c r="Q245" s="10"/>
    </row>
    <row r="246" spans="3:17" hidden="1" outlineLevel="1" x14ac:dyDescent="0.3">
      <c r="C246" s="231"/>
      <c r="D246" s="757" t="str">
        <f>IF(C246 = "", "",
IF(COUNTIF($C$188:C245, C246), "VALUE INCONSISTENCY",
IF(AND(COUNTIF('General Information'!$C$450:$C$549, C246),
       INDEX('General Information'!$D$450:$D$549, MATCH(C246, 'General Information'!$C$450:$C$549, 0)) = ""),
   "VALUE INCONSISTENCY",
IFERROR(VLOOKUP(C246, ListOfSitesTable, 5, FALSE), "") &amp; " " &amp;
IFERROR(VLOOKUP(C246, ListOfSitesTable, 4, FALSE), "") &amp; " " &amp;
IFERROR(VLOOKUP(C246, ListOfSitesTable, 2, FALSE), ""))))</f>
        <v/>
      </c>
      <c r="E246" s="758"/>
      <c r="F246" s="759"/>
      <c r="G246" s="699"/>
      <c r="H246" s="700"/>
      <c r="I246" s="701"/>
      <c r="J246" s="243" t="b">
        <v>0</v>
      </c>
      <c r="K246" s="238" t="b">
        <v>0</v>
      </c>
      <c r="L246" s="17" t="str">
        <f t="shared" si="4"/>
        <v/>
      </c>
      <c r="M246" s="10"/>
      <c r="N246" s="10"/>
      <c r="O246" s="10"/>
      <c r="P246" s="10"/>
      <c r="Q246" s="10"/>
    </row>
    <row r="247" spans="3:17" hidden="1" outlineLevel="1" x14ac:dyDescent="0.3">
      <c r="C247" s="231"/>
      <c r="D247" s="757" t="str">
        <f>IF(C247 = "", "",
IF(COUNTIF($C$188:C246, C247), "VALUE INCONSISTENCY",
IF(AND(COUNTIF('General Information'!$C$450:$C$549, C247),
       INDEX('General Information'!$D$450:$D$549, MATCH(C247, 'General Information'!$C$450:$C$549, 0)) = ""),
   "VALUE INCONSISTENCY",
IFERROR(VLOOKUP(C247, ListOfSitesTable, 5, FALSE), "") &amp; " " &amp;
IFERROR(VLOOKUP(C247, ListOfSitesTable, 4, FALSE), "") &amp; " " &amp;
IFERROR(VLOOKUP(C247, ListOfSitesTable, 2, FALSE), ""))))</f>
        <v/>
      </c>
      <c r="E247" s="758"/>
      <c r="F247" s="759"/>
      <c r="G247" s="699"/>
      <c r="H247" s="700"/>
      <c r="I247" s="701"/>
      <c r="J247" s="243" t="b">
        <v>0</v>
      </c>
      <c r="K247" s="238" t="b">
        <v>0</v>
      </c>
      <c r="L247" s="17" t="str">
        <f t="shared" si="4"/>
        <v/>
      </c>
      <c r="M247" s="10"/>
      <c r="N247" s="10"/>
      <c r="O247" s="10"/>
      <c r="P247" s="10"/>
      <c r="Q247" s="10"/>
    </row>
    <row r="248" spans="3:17" hidden="1" outlineLevel="1" x14ac:dyDescent="0.3">
      <c r="C248" s="231"/>
      <c r="D248" s="757" t="str">
        <f>IF(C248 = "", "",
IF(COUNTIF($C$188:C247, C248), "VALUE INCONSISTENCY",
IF(AND(COUNTIF('General Information'!$C$450:$C$549, C248),
       INDEX('General Information'!$D$450:$D$549, MATCH(C248, 'General Information'!$C$450:$C$549, 0)) = ""),
   "VALUE INCONSISTENCY",
IFERROR(VLOOKUP(C248, ListOfSitesTable, 5, FALSE), "") &amp; " " &amp;
IFERROR(VLOOKUP(C248, ListOfSitesTable, 4, FALSE), "") &amp; " " &amp;
IFERROR(VLOOKUP(C248, ListOfSitesTable, 2, FALSE), ""))))</f>
        <v/>
      </c>
      <c r="E248" s="758"/>
      <c r="F248" s="759"/>
      <c r="G248" s="699"/>
      <c r="H248" s="700"/>
      <c r="I248" s="701"/>
      <c r="J248" s="243" t="b">
        <v>0</v>
      </c>
      <c r="K248" s="238" t="b">
        <v>0</v>
      </c>
      <c r="L248" s="17" t="str">
        <f t="shared" si="4"/>
        <v/>
      </c>
      <c r="M248" s="10"/>
      <c r="N248" s="10"/>
      <c r="O248" s="10"/>
      <c r="P248" s="10"/>
      <c r="Q248" s="10"/>
    </row>
    <row r="249" spans="3:17" hidden="1" outlineLevel="1" x14ac:dyDescent="0.3">
      <c r="C249" s="231"/>
      <c r="D249" s="757" t="str">
        <f>IF(C249 = "", "",
IF(COUNTIF($C$188:C248, C249), "VALUE INCONSISTENCY",
IF(AND(COUNTIF('General Information'!$C$450:$C$549, C249),
       INDEX('General Information'!$D$450:$D$549, MATCH(C249, 'General Information'!$C$450:$C$549, 0)) = ""),
   "VALUE INCONSISTENCY",
IFERROR(VLOOKUP(C249, ListOfSitesTable, 5, FALSE), "") &amp; " " &amp;
IFERROR(VLOOKUP(C249, ListOfSitesTable, 4, FALSE), "") &amp; " " &amp;
IFERROR(VLOOKUP(C249, ListOfSitesTable, 2, FALSE), ""))))</f>
        <v/>
      </c>
      <c r="E249" s="758"/>
      <c r="F249" s="759"/>
      <c r="G249" s="699"/>
      <c r="H249" s="700"/>
      <c r="I249" s="701"/>
      <c r="J249" s="243" t="b">
        <v>0</v>
      </c>
      <c r="K249" s="238" t="b">
        <v>0</v>
      </c>
      <c r="L249" s="17" t="str">
        <f t="shared" si="4"/>
        <v/>
      </c>
      <c r="M249" s="10"/>
      <c r="N249" s="10"/>
      <c r="O249" s="10"/>
      <c r="P249" s="10"/>
      <c r="Q249" s="10"/>
    </row>
    <row r="250" spans="3:17" hidden="1" outlineLevel="1" x14ac:dyDescent="0.3">
      <c r="C250" s="231"/>
      <c r="D250" s="757" t="str">
        <f>IF(C250 = "", "",
IF(COUNTIF($C$188:C249, C250), "VALUE INCONSISTENCY",
IF(AND(COUNTIF('General Information'!$C$450:$C$549, C250),
       INDEX('General Information'!$D$450:$D$549, MATCH(C250, 'General Information'!$C$450:$C$549, 0)) = ""),
   "VALUE INCONSISTENCY",
IFERROR(VLOOKUP(C250, ListOfSitesTable, 5, FALSE), "") &amp; " " &amp;
IFERROR(VLOOKUP(C250, ListOfSitesTable, 4, FALSE), "") &amp; " " &amp;
IFERROR(VLOOKUP(C250, ListOfSitesTable, 2, FALSE), ""))))</f>
        <v/>
      </c>
      <c r="E250" s="758"/>
      <c r="F250" s="759"/>
      <c r="G250" s="699"/>
      <c r="H250" s="700"/>
      <c r="I250" s="701"/>
      <c r="J250" s="243" t="b">
        <v>0</v>
      </c>
      <c r="K250" s="238" t="b">
        <v>0</v>
      </c>
      <c r="L250" s="17" t="str">
        <f t="shared" si="4"/>
        <v/>
      </c>
      <c r="M250" s="10"/>
      <c r="N250" s="10"/>
      <c r="O250" s="10"/>
      <c r="P250" s="10"/>
      <c r="Q250" s="10"/>
    </row>
    <row r="251" spans="3:17" hidden="1" outlineLevel="1" x14ac:dyDescent="0.3">
      <c r="C251" s="231"/>
      <c r="D251" s="757" t="str">
        <f>IF(C251 = "", "",
IF(COUNTIF($C$188:C250, C251), "VALUE INCONSISTENCY",
IF(AND(COUNTIF('General Information'!$C$450:$C$549, C251),
       INDEX('General Information'!$D$450:$D$549, MATCH(C251, 'General Information'!$C$450:$C$549, 0)) = ""),
   "VALUE INCONSISTENCY",
IFERROR(VLOOKUP(C251, ListOfSitesTable, 5, FALSE), "") &amp; " " &amp;
IFERROR(VLOOKUP(C251, ListOfSitesTable, 4, FALSE), "") &amp; " " &amp;
IFERROR(VLOOKUP(C251, ListOfSitesTable, 2, FALSE), ""))))</f>
        <v/>
      </c>
      <c r="E251" s="758"/>
      <c r="F251" s="759"/>
      <c r="G251" s="699"/>
      <c r="H251" s="700"/>
      <c r="I251" s="701"/>
      <c r="J251" s="243" t="b">
        <v>0</v>
      </c>
      <c r="K251" s="238" t="b">
        <v>0</v>
      </c>
      <c r="L251" s="17" t="str">
        <f t="shared" si="4"/>
        <v/>
      </c>
      <c r="M251" s="10"/>
      <c r="N251" s="10"/>
      <c r="O251" s="10"/>
      <c r="P251" s="10"/>
      <c r="Q251" s="10"/>
    </row>
    <row r="252" spans="3:17" hidden="1" outlineLevel="1" x14ac:dyDescent="0.3">
      <c r="C252" s="231"/>
      <c r="D252" s="757" t="str">
        <f>IF(C252 = "", "",
IF(COUNTIF($C$188:C251, C252), "VALUE INCONSISTENCY",
IF(AND(COUNTIF('General Information'!$C$450:$C$549, C252),
       INDEX('General Information'!$D$450:$D$549, MATCH(C252, 'General Information'!$C$450:$C$549, 0)) = ""),
   "VALUE INCONSISTENCY",
IFERROR(VLOOKUP(C252, ListOfSitesTable, 5, FALSE), "") &amp; " " &amp;
IFERROR(VLOOKUP(C252, ListOfSitesTable, 4, FALSE), "") &amp; " " &amp;
IFERROR(VLOOKUP(C252, ListOfSitesTable, 2, FALSE), ""))))</f>
        <v/>
      </c>
      <c r="E252" s="758"/>
      <c r="F252" s="759"/>
      <c r="G252" s="699"/>
      <c r="H252" s="700"/>
      <c r="I252" s="701"/>
      <c r="J252" s="243" t="b">
        <v>0</v>
      </c>
      <c r="K252" s="238" t="b">
        <v>0</v>
      </c>
      <c r="L252" s="17" t="str">
        <f t="shared" si="4"/>
        <v/>
      </c>
      <c r="M252" s="10"/>
      <c r="N252" s="10"/>
      <c r="O252" s="10"/>
      <c r="P252" s="10"/>
      <c r="Q252" s="10"/>
    </row>
    <row r="253" spans="3:17" hidden="1" outlineLevel="1" x14ac:dyDescent="0.3">
      <c r="C253" s="231"/>
      <c r="D253" s="757" t="str">
        <f>IF(C253 = "", "",
IF(COUNTIF($C$188:C252, C253), "VALUE INCONSISTENCY",
IF(AND(COUNTIF('General Information'!$C$450:$C$549, C253),
       INDEX('General Information'!$D$450:$D$549, MATCH(C253, 'General Information'!$C$450:$C$549, 0)) = ""),
   "VALUE INCONSISTENCY",
IFERROR(VLOOKUP(C253, ListOfSitesTable, 5, FALSE), "") &amp; " " &amp;
IFERROR(VLOOKUP(C253, ListOfSitesTable, 4, FALSE), "") &amp; " " &amp;
IFERROR(VLOOKUP(C253, ListOfSitesTable, 2, FALSE), ""))))</f>
        <v/>
      </c>
      <c r="E253" s="758"/>
      <c r="F253" s="759"/>
      <c r="G253" s="699"/>
      <c r="H253" s="700"/>
      <c r="I253" s="701"/>
      <c r="J253" s="243" t="b">
        <v>0</v>
      </c>
      <c r="K253" s="238" t="b">
        <v>0</v>
      </c>
      <c r="L253" s="17" t="str">
        <f t="shared" si="4"/>
        <v/>
      </c>
      <c r="M253" s="10"/>
      <c r="N253" s="10"/>
      <c r="O253" s="10"/>
      <c r="P253" s="10"/>
      <c r="Q253" s="10"/>
    </row>
    <row r="254" spans="3:17" hidden="1" outlineLevel="1" x14ac:dyDescent="0.3">
      <c r="C254" s="231"/>
      <c r="D254" s="757" t="str">
        <f>IF(C254 = "", "",
IF(COUNTIF($C$188:C253, C254), "VALUE INCONSISTENCY",
IF(AND(COUNTIF('General Information'!$C$450:$C$549, C254),
       INDEX('General Information'!$D$450:$D$549, MATCH(C254, 'General Information'!$C$450:$C$549, 0)) = ""),
   "VALUE INCONSISTENCY",
IFERROR(VLOOKUP(C254, ListOfSitesTable, 5, FALSE), "") &amp; " " &amp;
IFERROR(VLOOKUP(C254, ListOfSitesTable, 4, FALSE), "") &amp; " " &amp;
IFERROR(VLOOKUP(C254, ListOfSitesTable, 2, FALSE), ""))))</f>
        <v/>
      </c>
      <c r="E254" s="758"/>
      <c r="F254" s="759"/>
      <c r="G254" s="699"/>
      <c r="H254" s="700"/>
      <c r="I254" s="701"/>
      <c r="J254" s="243" t="b">
        <v>0</v>
      </c>
      <c r="K254" s="238" t="b">
        <v>0</v>
      </c>
      <c r="L254" s="17" t="str">
        <f t="shared" si="4"/>
        <v/>
      </c>
      <c r="M254" s="10"/>
      <c r="N254" s="10"/>
      <c r="O254" s="10"/>
      <c r="P254" s="10"/>
      <c r="Q254" s="10"/>
    </row>
    <row r="255" spans="3:17" hidden="1" outlineLevel="1" x14ac:dyDescent="0.3">
      <c r="C255" s="231"/>
      <c r="D255" s="757" t="str">
        <f>IF(C255 = "", "",
IF(COUNTIF($C$188:C254, C255), "VALUE INCONSISTENCY",
IF(AND(COUNTIF('General Information'!$C$450:$C$549, C255),
       INDEX('General Information'!$D$450:$D$549, MATCH(C255, 'General Information'!$C$450:$C$549, 0)) = ""),
   "VALUE INCONSISTENCY",
IFERROR(VLOOKUP(C255, ListOfSitesTable, 5, FALSE), "") &amp; " " &amp;
IFERROR(VLOOKUP(C255, ListOfSitesTable, 4, FALSE), "") &amp; " " &amp;
IFERROR(VLOOKUP(C255, ListOfSitesTable, 2, FALSE), ""))))</f>
        <v/>
      </c>
      <c r="E255" s="758"/>
      <c r="F255" s="759"/>
      <c r="G255" s="699"/>
      <c r="H255" s="700"/>
      <c r="I255" s="701"/>
      <c r="J255" s="243" t="b">
        <v>0</v>
      </c>
      <c r="K255" s="238" t="b">
        <v>0</v>
      </c>
      <c r="L255" s="17" t="str">
        <f t="shared" si="4"/>
        <v/>
      </c>
      <c r="M255" s="10"/>
      <c r="N255" s="10"/>
      <c r="O255" s="10"/>
      <c r="P255" s="10"/>
      <c r="Q255" s="10"/>
    </row>
    <row r="256" spans="3:17" hidden="1" outlineLevel="1" x14ac:dyDescent="0.3">
      <c r="C256" s="231"/>
      <c r="D256" s="757" t="str">
        <f>IF(C256 = "", "",
IF(COUNTIF($C$188:C255, C256), "VALUE INCONSISTENCY",
IF(AND(COUNTIF('General Information'!$C$450:$C$549, C256),
       INDEX('General Information'!$D$450:$D$549, MATCH(C256, 'General Information'!$C$450:$C$549, 0)) = ""),
   "VALUE INCONSISTENCY",
IFERROR(VLOOKUP(C256, ListOfSitesTable, 5, FALSE), "") &amp; " " &amp;
IFERROR(VLOOKUP(C256, ListOfSitesTable, 4, FALSE), "") &amp; " " &amp;
IFERROR(VLOOKUP(C256, ListOfSitesTable, 2, FALSE), ""))))</f>
        <v/>
      </c>
      <c r="E256" s="758"/>
      <c r="F256" s="759"/>
      <c r="G256" s="699"/>
      <c r="H256" s="700"/>
      <c r="I256" s="701"/>
      <c r="J256" s="243" t="b">
        <v>0</v>
      </c>
      <c r="K256" s="238" t="b">
        <v>0</v>
      </c>
      <c r="L256" s="17" t="str">
        <f t="shared" si="4"/>
        <v/>
      </c>
      <c r="M256" s="10"/>
      <c r="N256" s="10"/>
      <c r="O256" s="10"/>
      <c r="P256" s="10"/>
      <c r="Q256" s="10"/>
    </row>
    <row r="257" spans="3:17" hidden="1" outlineLevel="1" x14ac:dyDescent="0.3">
      <c r="C257" s="231"/>
      <c r="D257" s="757" t="str">
        <f>IF(C257 = "", "",
IF(COUNTIF($C$188:C256, C257), "VALUE INCONSISTENCY",
IF(AND(COUNTIF('General Information'!$C$450:$C$549, C257),
       INDEX('General Information'!$D$450:$D$549, MATCH(C257, 'General Information'!$C$450:$C$549, 0)) = ""),
   "VALUE INCONSISTENCY",
IFERROR(VLOOKUP(C257, ListOfSitesTable, 5, FALSE), "") &amp; " " &amp;
IFERROR(VLOOKUP(C257, ListOfSitesTable, 4, FALSE), "") &amp; " " &amp;
IFERROR(VLOOKUP(C257, ListOfSitesTable, 2, FALSE), ""))))</f>
        <v/>
      </c>
      <c r="E257" s="758"/>
      <c r="F257" s="759"/>
      <c r="G257" s="699"/>
      <c r="H257" s="700"/>
      <c r="I257" s="701"/>
      <c r="J257" s="243" t="b">
        <v>0</v>
      </c>
      <c r="K257" s="238" t="b">
        <v>0</v>
      </c>
      <c r="L257" s="17" t="str">
        <f t="shared" si="4"/>
        <v/>
      </c>
      <c r="M257" s="10"/>
      <c r="N257" s="10"/>
      <c r="O257" s="10"/>
      <c r="P257" s="10"/>
      <c r="Q257" s="10"/>
    </row>
    <row r="258" spans="3:17" hidden="1" outlineLevel="1" x14ac:dyDescent="0.3">
      <c r="C258" s="231"/>
      <c r="D258" s="757" t="str">
        <f>IF(C258 = "", "",
IF(COUNTIF($C$188:C257, C258), "VALUE INCONSISTENCY",
IF(AND(COUNTIF('General Information'!$C$450:$C$549, C258),
       INDEX('General Information'!$D$450:$D$549, MATCH(C258, 'General Information'!$C$450:$C$549, 0)) = ""),
   "VALUE INCONSISTENCY",
IFERROR(VLOOKUP(C258, ListOfSitesTable, 5, FALSE), "") &amp; " " &amp;
IFERROR(VLOOKUP(C258, ListOfSitesTable, 4, FALSE), "") &amp; " " &amp;
IFERROR(VLOOKUP(C258, ListOfSitesTable, 2, FALSE), ""))))</f>
        <v/>
      </c>
      <c r="E258" s="758"/>
      <c r="F258" s="759"/>
      <c r="G258" s="699"/>
      <c r="H258" s="700"/>
      <c r="I258" s="701"/>
      <c r="J258" s="243" t="b">
        <v>0</v>
      </c>
      <c r="K258" s="238" t="b">
        <v>0</v>
      </c>
      <c r="L258" s="17" t="str">
        <f t="shared" si="4"/>
        <v/>
      </c>
      <c r="M258" s="10"/>
      <c r="N258" s="10"/>
      <c r="O258" s="10"/>
      <c r="P258" s="10"/>
      <c r="Q258" s="10"/>
    </row>
    <row r="259" spans="3:17" hidden="1" outlineLevel="1" x14ac:dyDescent="0.3">
      <c r="C259" s="231"/>
      <c r="D259" s="757" t="str">
        <f>IF(C259 = "", "",
IF(COUNTIF($C$188:C258, C259), "VALUE INCONSISTENCY",
IF(AND(COUNTIF('General Information'!$C$450:$C$549, C259),
       INDEX('General Information'!$D$450:$D$549, MATCH(C259, 'General Information'!$C$450:$C$549, 0)) = ""),
   "VALUE INCONSISTENCY",
IFERROR(VLOOKUP(C259, ListOfSitesTable, 5, FALSE), "") &amp; " " &amp;
IFERROR(VLOOKUP(C259, ListOfSitesTable, 4, FALSE), "") &amp; " " &amp;
IFERROR(VLOOKUP(C259, ListOfSitesTable, 2, FALSE), ""))))</f>
        <v/>
      </c>
      <c r="E259" s="758"/>
      <c r="F259" s="759"/>
      <c r="G259" s="699"/>
      <c r="H259" s="700"/>
      <c r="I259" s="701"/>
      <c r="J259" s="243" t="b">
        <v>0</v>
      </c>
      <c r="K259" s="238" t="b">
        <v>0</v>
      </c>
      <c r="L259" s="17" t="str">
        <f t="shared" si="4"/>
        <v/>
      </c>
      <c r="M259" s="10"/>
      <c r="N259" s="10"/>
      <c r="O259" s="10"/>
      <c r="P259" s="10"/>
      <c r="Q259" s="10"/>
    </row>
    <row r="260" spans="3:17" hidden="1" outlineLevel="1" x14ac:dyDescent="0.3">
      <c r="C260" s="231"/>
      <c r="D260" s="757" t="str">
        <f>IF(C260 = "", "",
IF(COUNTIF($C$188:C259, C260), "VALUE INCONSISTENCY",
IF(AND(COUNTIF('General Information'!$C$450:$C$549, C260),
       INDEX('General Information'!$D$450:$D$549, MATCH(C260, 'General Information'!$C$450:$C$549, 0)) = ""),
   "VALUE INCONSISTENCY",
IFERROR(VLOOKUP(C260, ListOfSitesTable, 5, FALSE), "") &amp; " " &amp;
IFERROR(VLOOKUP(C260, ListOfSitesTable, 4, FALSE), "") &amp; " " &amp;
IFERROR(VLOOKUP(C260, ListOfSitesTable, 2, FALSE), ""))))</f>
        <v/>
      </c>
      <c r="E260" s="758"/>
      <c r="F260" s="759"/>
      <c r="G260" s="699"/>
      <c r="H260" s="700"/>
      <c r="I260" s="701"/>
      <c r="J260" s="243" t="b">
        <v>0</v>
      </c>
      <c r="K260" s="238" t="b">
        <v>0</v>
      </c>
      <c r="L260" s="17" t="str">
        <f t="shared" si="4"/>
        <v/>
      </c>
      <c r="M260" s="10"/>
      <c r="N260" s="10"/>
      <c r="O260" s="10"/>
      <c r="P260" s="10"/>
      <c r="Q260" s="10"/>
    </row>
    <row r="261" spans="3:17" hidden="1" outlineLevel="1" x14ac:dyDescent="0.3">
      <c r="C261" s="231"/>
      <c r="D261" s="757" t="str">
        <f>IF(C261 = "", "",
IF(COUNTIF($C$188:C260, C261), "VALUE INCONSISTENCY",
IF(AND(COUNTIF('General Information'!$C$450:$C$549, C261),
       INDEX('General Information'!$D$450:$D$549, MATCH(C261, 'General Information'!$C$450:$C$549, 0)) = ""),
   "VALUE INCONSISTENCY",
IFERROR(VLOOKUP(C261, ListOfSitesTable, 5, FALSE), "") &amp; " " &amp;
IFERROR(VLOOKUP(C261, ListOfSitesTable, 4, FALSE), "") &amp; " " &amp;
IFERROR(VLOOKUP(C261, ListOfSitesTable, 2, FALSE), ""))))</f>
        <v/>
      </c>
      <c r="E261" s="758"/>
      <c r="F261" s="759"/>
      <c r="G261" s="699"/>
      <c r="H261" s="700"/>
      <c r="I261" s="701"/>
      <c r="J261" s="243" t="b">
        <v>0</v>
      </c>
      <c r="K261" s="238" t="b">
        <v>0</v>
      </c>
      <c r="L261" s="17" t="str">
        <f t="shared" si="4"/>
        <v/>
      </c>
      <c r="M261" s="10"/>
      <c r="N261" s="10"/>
      <c r="O261" s="10"/>
      <c r="P261" s="10"/>
      <c r="Q261" s="10"/>
    </row>
    <row r="262" spans="3:17" hidden="1" outlineLevel="1" x14ac:dyDescent="0.3">
      <c r="C262" s="231"/>
      <c r="D262" s="757" t="str">
        <f>IF(C262 = "", "",
IF(COUNTIF($C$188:C261, C262), "VALUE INCONSISTENCY",
IF(AND(COUNTIF('General Information'!$C$450:$C$549, C262),
       INDEX('General Information'!$D$450:$D$549, MATCH(C262, 'General Information'!$C$450:$C$549, 0)) = ""),
   "VALUE INCONSISTENCY",
IFERROR(VLOOKUP(C262, ListOfSitesTable, 5, FALSE), "") &amp; " " &amp;
IFERROR(VLOOKUP(C262, ListOfSitesTable, 4, FALSE), "") &amp; " " &amp;
IFERROR(VLOOKUP(C262, ListOfSitesTable, 2, FALSE), ""))))</f>
        <v/>
      </c>
      <c r="E262" s="758"/>
      <c r="F262" s="759"/>
      <c r="G262" s="699"/>
      <c r="H262" s="700"/>
      <c r="I262" s="701"/>
      <c r="J262" s="243" t="b">
        <v>0</v>
      </c>
      <c r="K262" s="238" t="b">
        <v>0</v>
      </c>
      <c r="L262" s="17" t="str">
        <f t="shared" si="4"/>
        <v/>
      </c>
      <c r="M262" s="10"/>
      <c r="N262" s="10"/>
      <c r="O262" s="10"/>
      <c r="P262" s="10"/>
      <c r="Q262" s="10"/>
    </row>
    <row r="263" spans="3:17" hidden="1" outlineLevel="1" x14ac:dyDescent="0.3">
      <c r="C263" s="231"/>
      <c r="D263" s="757" t="str">
        <f>IF(C263 = "", "",
IF(COUNTIF($C$188:C262, C263), "VALUE INCONSISTENCY",
IF(AND(COUNTIF('General Information'!$C$450:$C$549, C263),
       INDEX('General Information'!$D$450:$D$549, MATCH(C263, 'General Information'!$C$450:$C$549, 0)) = ""),
   "VALUE INCONSISTENCY",
IFERROR(VLOOKUP(C263, ListOfSitesTable, 5, FALSE), "") &amp; " " &amp;
IFERROR(VLOOKUP(C263, ListOfSitesTable, 4, FALSE), "") &amp; " " &amp;
IFERROR(VLOOKUP(C263, ListOfSitesTable, 2, FALSE), ""))))</f>
        <v/>
      </c>
      <c r="E263" s="758"/>
      <c r="F263" s="759"/>
      <c r="G263" s="699"/>
      <c r="H263" s="700"/>
      <c r="I263" s="701"/>
      <c r="J263" s="243" t="b">
        <v>0</v>
      </c>
      <c r="K263" s="238" t="b">
        <v>0</v>
      </c>
      <c r="L263" s="17" t="str">
        <f t="shared" si="4"/>
        <v/>
      </c>
      <c r="M263" s="10"/>
      <c r="N263" s="10"/>
      <c r="O263" s="10"/>
      <c r="P263" s="10"/>
      <c r="Q263" s="10"/>
    </row>
    <row r="264" spans="3:17" hidden="1" outlineLevel="1" x14ac:dyDescent="0.3">
      <c r="C264" s="231"/>
      <c r="D264" s="757" t="str">
        <f>IF(C264 = "", "",
IF(COUNTIF($C$188:C263, C264), "VALUE INCONSISTENCY",
IF(AND(COUNTIF('General Information'!$C$450:$C$549, C264),
       INDEX('General Information'!$D$450:$D$549, MATCH(C264, 'General Information'!$C$450:$C$549, 0)) = ""),
   "VALUE INCONSISTENCY",
IFERROR(VLOOKUP(C264, ListOfSitesTable, 5, FALSE), "") &amp; " " &amp;
IFERROR(VLOOKUP(C264, ListOfSitesTable, 4, FALSE), "") &amp; " " &amp;
IFERROR(VLOOKUP(C264, ListOfSitesTable, 2, FALSE), ""))))</f>
        <v/>
      </c>
      <c r="E264" s="758"/>
      <c r="F264" s="759"/>
      <c r="G264" s="699"/>
      <c r="H264" s="700"/>
      <c r="I264" s="701"/>
      <c r="J264" s="243" t="b">
        <v>0</v>
      </c>
      <c r="K264" s="238" t="b">
        <v>0</v>
      </c>
      <c r="L264" s="17" t="str">
        <f t="shared" si="4"/>
        <v/>
      </c>
      <c r="M264" s="10"/>
      <c r="N264" s="10"/>
      <c r="O264" s="10"/>
      <c r="P264" s="10"/>
      <c r="Q264" s="10"/>
    </row>
    <row r="265" spans="3:17" hidden="1" outlineLevel="1" x14ac:dyDescent="0.3">
      <c r="C265" s="231"/>
      <c r="D265" s="757" t="str">
        <f>IF(C265 = "", "",
IF(COUNTIF($C$188:C264, C265), "VALUE INCONSISTENCY",
IF(AND(COUNTIF('General Information'!$C$450:$C$549, C265),
       INDEX('General Information'!$D$450:$D$549, MATCH(C265, 'General Information'!$C$450:$C$549, 0)) = ""),
   "VALUE INCONSISTENCY",
IFERROR(VLOOKUP(C265, ListOfSitesTable, 5, FALSE), "") &amp; " " &amp;
IFERROR(VLOOKUP(C265, ListOfSitesTable, 4, FALSE), "") &amp; " " &amp;
IFERROR(VLOOKUP(C265, ListOfSitesTable, 2, FALSE), ""))))</f>
        <v/>
      </c>
      <c r="E265" s="758"/>
      <c r="F265" s="759"/>
      <c r="G265" s="699"/>
      <c r="H265" s="700"/>
      <c r="I265" s="701"/>
      <c r="J265" s="243" t="b">
        <v>0</v>
      </c>
      <c r="K265" s="238" t="b">
        <v>0</v>
      </c>
      <c r="L265" s="17" t="str">
        <f t="shared" si="4"/>
        <v/>
      </c>
      <c r="M265" s="10"/>
      <c r="N265" s="10"/>
      <c r="O265" s="10"/>
      <c r="P265" s="10"/>
      <c r="Q265" s="10"/>
    </row>
    <row r="266" spans="3:17" hidden="1" outlineLevel="1" x14ac:dyDescent="0.3">
      <c r="C266" s="231"/>
      <c r="D266" s="757" t="str">
        <f>IF(C266 = "", "",
IF(COUNTIF($C$188:C265, C266), "VALUE INCONSISTENCY",
IF(AND(COUNTIF('General Information'!$C$450:$C$549, C266),
       INDEX('General Information'!$D$450:$D$549, MATCH(C266, 'General Information'!$C$450:$C$549, 0)) = ""),
   "VALUE INCONSISTENCY",
IFERROR(VLOOKUP(C266, ListOfSitesTable, 5, FALSE), "") &amp; " " &amp;
IFERROR(VLOOKUP(C266, ListOfSitesTable, 4, FALSE), "") &amp; " " &amp;
IFERROR(VLOOKUP(C266, ListOfSitesTable, 2, FALSE), ""))))</f>
        <v/>
      </c>
      <c r="E266" s="758"/>
      <c r="F266" s="759"/>
      <c r="G266" s="699"/>
      <c r="H266" s="700"/>
      <c r="I266" s="701"/>
      <c r="J266" s="243" t="b">
        <v>0</v>
      </c>
      <c r="K266" s="238" t="b">
        <v>0</v>
      </c>
      <c r="L266" s="17" t="str">
        <f t="shared" si="4"/>
        <v/>
      </c>
      <c r="M266" s="10"/>
      <c r="N266" s="10"/>
      <c r="O266" s="10"/>
      <c r="P266" s="10"/>
      <c r="Q266" s="10"/>
    </row>
    <row r="267" spans="3:17" hidden="1" outlineLevel="1" x14ac:dyDescent="0.3">
      <c r="C267" s="231"/>
      <c r="D267" s="757" t="str">
        <f>IF(C267 = "", "",
IF(COUNTIF($C$188:C266, C267), "VALUE INCONSISTENCY",
IF(AND(COUNTIF('General Information'!$C$450:$C$549, C267),
       INDEX('General Information'!$D$450:$D$549, MATCH(C267, 'General Information'!$C$450:$C$549, 0)) = ""),
   "VALUE INCONSISTENCY",
IFERROR(VLOOKUP(C267, ListOfSitesTable, 5, FALSE), "") &amp; " " &amp;
IFERROR(VLOOKUP(C267, ListOfSitesTable, 4, FALSE), "") &amp; " " &amp;
IFERROR(VLOOKUP(C267, ListOfSitesTable, 2, FALSE), ""))))</f>
        <v/>
      </c>
      <c r="E267" s="758"/>
      <c r="F267" s="759"/>
      <c r="G267" s="699"/>
      <c r="H267" s="700"/>
      <c r="I267" s="701"/>
      <c r="J267" s="243" t="b">
        <v>0</v>
      </c>
      <c r="K267" s="238" t="b">
        <v>0</v>
      </c>
      <c r="L267" s="17" t="str">
        <f t="shared" si="4"/>
        <v/>
      </c>
      <c r="M267" s="10"/>
      <c r="N267" s="10"/>
      <c r="O267" s="10"/>
      <c r="P267" s="10"/>
      <c r="Q267" s="10"/>
    </row>
    <row r="268" spans="3:17" hidden="1" outlineLevel="1" x14ac:dyDescent="0.3">
      <c r="C268" s="231"/>
      <c r="D268" s="757" t="str">
        <f>IF(C268 = "", "",
IF(COUNTIF($C$188:C267, C268), "VALUE INCONSISTENCY",
IF(AND(COUNTIF('General Information'!$C$450:$C$549, C268),
       INDEX('General Information'!$D$450:$D$549, MATCH(C268, 'General Information'!$C$450:$C$549, 0)) = ""),
   "VALUE INCONSISTENCY",
IFERROR(VLOOKUP(C268, ListOfSitesTable, 5, FALSE), "") &amp; " " &amp;
IFERROR(VLOOKUP(C268, ListOfSitesTable, 4, FALSE), "") &amp; " " &amp;
IFERROR(VLOOKUP(C268, ListOfSitesTable, 2, FALSE), ""))))</f>
        <v/>
      </c>
      <c r="E268" s="758"/>
      <c r="F268" s="759"/>
      <c r="G268" s="699"/>
      <c r="H268" s="700"/>
      <c r="I268" s="701"/>
      <c r="J268" s="243" t="b">
        <v>0</v>
      </c>
      <c r="K268" s="238" t="b">
        <v>0</v>
      </c>
      <c r="L268" s="17" t="str">
        <f t="shared" si="4"/>
        <v/>
      </c>
      <c r="M268" s="10"/>
      <c r="N268" s="10"/>
      <c r="O268" s="10"/>
      <c r="P268" s="10"/>
      <c r="Q268" s="10"/>
    </row>
    <row r="269" spans="3:17" hidden="1" outlineLevel="1" x14ac:dyDescent="0.3">
      <c r="C269" s="231"/>
      <c r="D269" s="757" t="str">
        <f>IF(C269 = "", "",
IF(COUNTIF($C$188:C268, C269), "VALUE INCONSISTENCY",
IF(AND(COUNTIF('General Information'!$C$450:$C$549, C269),
       INDEX('General Information'!$D$450:$D$549, MATCH(C269, 'General Information'!$C$450:$C$549, 0)) = ""),
   "VALUE INCONSISTENCY",
IFERROR(VLOOKUP(C269, ListOfSitesTable, 5, FALSE), "") &amp; " " &amp;
IFERROR(VLOOKUP(C269, ListOfSitesTable, 4, FALSE), "") &amp; " " &amp;
IFERROR(VLOOKUP(C269, ListOfSitesTable, 2, FALSE), ""))))</f>
        <v/>
      </c>
      <c r="E269" s="758"/>
      <c r="F269" s="759"/>
      <c r="G269" s="699"/>
      <c r="H269" s="700"/>
      <c r="I269" s="701"/>
      <c r="J269" s="243" t="b">
        <v>0</v>
      </c>
      <c r="K269" s="238" t="b">
        <v>0</v>
      </c>
      <c r="L269" s="17" t="str">
        <f t="shared" si="4"/>
        <v/>
      </c>
      <c r="M269" s="10"/>
      <c r="N269" s="10"/>
      <c r="O269" s="10"/>
      <c r="P269" s="10"/>
      <c r="Q269" s="10"/>
    </row>
    <row r="270" spans="3:17" hidden="1" outlineLevel="1" x14ac:dyDescent="0.3">
      <c r="C270" s="231"/>
      <c r="D270" s="757" t="str">
        <f>IF(C270 = "", "",
IF(COUNTIF($C$188:C269, C270), "VALUE INCONSISTENCY",
IF(AND(COUNTIF('General Information'!$C$450:$C$549, C270),
       INDEX('General Information'!$D$450:$D$549, MATCH(C270, 'General Information'!$C$450:$C$549, 0)) = ""),
   "VALUE INCONSISTENCY",
IFERROR(VLOOKUP(C270, ListOfSitesTable, 5, FALSE), "") &amp; " " &amp;
IFERROR(VLOOKUP(C270, ListOfSitesTable, 4, FALSE), "") &amp; " " &amp;
IFERROR(VLOOKUP(C270, ListOfSitesTable, 2, FALSE), ""))))</f>
        <v/>
      </c>
      <c r="E270" s="758"/>
      <c r="F270" s="759"/>
      <c r="G270" s="699"/>
      <c r="H270" s="700"/>
      <c r="I270" s="701"/>
      <c r="J270" s="243" t="b">
        <v>0</v>
      </c>
      <c r="K270" s="238" t="b">
        <v>0</v>
      </c>
      <c r="L270" s="17" t="str">
        <f t="shared" si="4"/>
        <v/>
      </c>
      <c r="M270" s="10"/>
      <c r="N270" s="10"/>
      <c r="O270" s="10"/>
      <c r="P270" s="10"/>
      <c r="Q270" s="10"/>
    </row>
    <row r="271" spans="3:17" hidden="1" outlineLevel="1" x14ac:dyDescent="0.3">
      <c r="C271" s="231"/>
      <c r="D271" s="757" t="str">
        <f>IF(C271 = "", "",
IF(COUNTIF($C$188:C270, C271), "VALUE INCONSISTENCY",
IF(AND(COUNTIF('General Information'!$C$450:$C$549, C271),
       INDEX('General Information'!$D$450:$D$549, MATCH(C271, 'General Information'!$C$450:$C$549, 0)) = ""),
   "VALUE INCONSISTENCY",
IFERROR(VLOOKUP(C271, ListOfSitesTable, 5, FALSE), "") &amp; " " &amp;
IFERROR(VLOOKUP(C271, ListOfSitesTable, 4, FALSE), "") &amp; " " &amp;
IFERROR(VLOOKUP(C271, ListOfSitesTable, 2, FALSE), ""))))</f>
        <v/>
      </c>
      <c r="E271" s="758"/>
      <c r="F271" s="759"/>
      <c r="G271" s="699"/>
      <c r="H271" s="700"/>
      <c r="I271" s="701"/>
      <c r="J271" s="243" t="b">
        <v>0</v>
      </c>
      <c r="K271" s="238" t="b">
        <v>0</v>
      </c>
      <c r="L271" s="17" t="str">
        <f t="shared" si="4"/>
        <v/>
      </c>
      <c r="M271" s="10"/>
      <c r="N271" s="10"/>
      <c r="O271" s="10"/>
      <c r="P271" s="10"/>
      <c r="Q271" s="10"/>
    </row>
    <row r="272" spans="3:17" hidden="1" outlineLevel="1" x14ac:dyDescent="0.3">
      <c r="C272" s="231"/>
      <c r="D272" s="757" t="str">
        <f>IF(C272 = "", "",
IF(COUNTIF($C$188:C271, C272), "VALUE INCONSISTENCY",
IF(AND(COUNTIF('General Information'!$C$450:$C$549, C272),
       INDEX('General Information'!$D$450:$D$549, MATCH(C272, 'General Information'!$C$450:$C$549, 0)) = ""),
   "VALUE INCONSISTENCY",
IFERROR(VLOOKUP(C272, ListOfSitesTable, 5, FALSE), "") &amp; " " &amp;
IFERROR(VLOOKUP(C272, ListOfSitesTable, 4, FALSE), "") &amp; " " &amp;
IFERROR(VLOOKUP(C272, ListOfSitesTable, 2, FALSE), ""))))</f>
        <v/>
      </c>
      <c r="E272" s="758"/>
      <c r="F272" s="759"/>
      <c r="G272" s="699"/>
      <c r="H272" s="700"/>
      <c r="I272" s="701"/>
      <c r="J272" s="243" t="b">
        <v>0</v>
      </c>
      <c r="K272" s="238" t="b">
        <v>0</v>
      </c>
      <c r="L272" s="17" t="str">
        <f t="shared" si="4"/>
        <v/>
      </c>
      <c r="M272" s="10"/>
      <c r="N272" s="10"/>
      <c r="O272" s="10"/>
      <c r="P272" s="10"/>
      <c r="Q272" s="10"/>
    </row>
    <row r="273" spans="3:17" hidden="1" outlineLevel="1" x14ac:dyDescent="0.3">
      <c r="C273" s="231"/>
      <c r="D273" s="757" t="str">
        <f>IF(C273 = "", "",
IF(COUNTIF($C$188:C272, C273), "VALUE INCONSISTENCY",
IF(AND(COUNTIF('General Information'!$C$450:$C$549, C273),
       INDEX('General Information'!$D$450:$D$549, MATCH(C273, 'General Information'!$C$450:$C$549, 0)) = ""),
   "VALUE INCONSISTENCY",
IFERROR(VLOOKUP(C273, ListOfSitesTable, 5, FALSE), "") &amp; " " &amp;
IFERROR(VLOOKUP(C273, ListOfSitesTable, 4, FALSE), "") &amp; " " &amp;
IFERROR(VLOOKUP(C273, ListOfSitesTable, 2, FALSE), ""))))</f>
        <v/>
      </c>
      <c r="E273" s="758"/>
      <c r="F273" s="759"/>
      <c r="G273" s="699"/>
      <c r="H273" s="700"/>
      <c r="I273" s="701"/>
      <c r="J273" s="243" t="b">
        <v>0</v>
      </c>
      <c r="K273" s="238" t="b">
        <v>0</v>
      </c>
      <c r="L273" s="17" t="str">
        <f t="shared" si="4"/>
        <v/>
      </c>
      <c r="M273" s="10"/>
      <c r="N273" s="10"/>
      <c r="O273" s="10"/>
      <c r="P273" s="10"/>
      <c r="Q273" s="10"/>
    </row>
    <row r="274" spans="3:17" hidden="1" outlineLevel="1" x14ac:dyDescent="0.3">
      <c r="C274" s="231"/>
      <c r="D274" s="757" t="str">
        <f>IF(C274 = "", "",
IF(COUNTIF($C$188:C273, C274), "VALUE INCONSISTENCY",
IF(AND(COUNTIF('General Information'!$C$450:$C$549, C274),
       INDEX('General Information'!$D$450:$D$549, MATCH(C274, 'General Information'!$C$450:$C$549, 0)) = ""),
   "VALUE INCONSISTENCY",
IFERROR(VLOOKUP(C274, ListOfSitesTable, 5, FALSE), "") &amp; " " &amp;
IFERROR(VLOOKUP(C274, ListOfSitesTable, 4, FALSE), "") &amp; " " &amp;
IFERROR(VLOOKUP(C274, ListOfSitesTable, 2, FALSE), ""))))</f>
        <v/>
      </c>
      <c r="E274" s="758"/>
      <c r="F274" s="759"/>
      <c r="G274" s="699"/>
      <c r="H274" s="700"/>
      <c r="I274" s="701"/>
      <c r="J274" s="243" t="b">
        <v>0</v>
      </c>
      <c r="K274" s="238" t="b">
        <v>0</v>
      </c>
      <c r="L274" s="17" t="str">
        <f t="shared" si="4"/>
        <v/>
      </c>
      <c r="M274" s="10"/>
      <c r="N274" s="10"/>
      <c r="O274" s="10"/>
      <c r="P274" s="10"/>
      <c r="Q274" s="10"/>
    </row>
    <row r="275" spans="3:17" hidden="1" outlineLevel="1" x14ac:dyDescent="0.3">
      <c r="C275" s="231"/>
      <c r="D275" s="757" t="str">
        <f>IF(C275 = "", "",
IF(COUNTIF($C$188:C274, C275), "VALUE INCONSISTENCY",
IF(AND(COUNTIF('General Information'!$C$450:$C$549, C275),
       INDEX('General Information'!$D$450:$D$549, MATCH(C275, 'General Information'!$C$450:$C$549, 0)) = ""),
   "VALUE INCONSISTENCY",
IFERROR(VLOOKUP(C275, ListOfSitesTable, 5, FALSE), "") &amp; " " &amp;
IFERROR(VLOOKUP(C275, ListOfSitesTable, 4, FALSE), "") &amp; " " &amp;
IFERROR(VLOOKUP(C275, ListOfSitesTable, 2, FALSE), ""))))</f>
        <v/>
      </c>
      <c r="E275" s="758"/>
      <c r="F275" s="759"/>
      <c r="G275" s="699"/>
      <c r="H275" s="700"/>
      <c r="I275" s="701"/>
      <c r="J275" s="243" t="b">
        <v>0</v>
      </c>
      <c r="K275" s="238" t="b">
        <v>0</v>
      </c>
      <c r="L275" s="17" t="str">
        <f t="shared" si="4"/>
        <v/>
      </c>
      <c r="M275" s="10"/>
      <c r="N275" s="10"/>
      <c r="O275" s="10"/>
      <c r="P275" s="10"/>
      <c r="Q275" s="10"/>
    </row>
    <row r="276" spans="3:17" hidden="1" outlineLevel="1" x14ac:dyDescent="0.3">
      <c r="C276" s="231"/>
      <c r="D276" s="757" t="str">
        <f>IF(C276 = "", "",
IF(COUNTIF($C$188:C275, C276), "VALUE INCONSISTENCY",
IF(AND(COUNTIF('General Information'!$C$450:$C$549, C276),
       INDEX('General Information'!$D$450:$D$549, MATCH(C276, 'General Information'!$C$450:$C$549, 0)) = ""),
   "VALUE INCONSISTENCY",
IFERROR(VLOOKUP(C276, ListOfSitesTable, 5, FALSE), "") &amp; " " &amp;
IFERROR(VLOOKUP(C276, ListOfSitesTable, 4, FALSE), "") &amp; " " &amp;
IFERROR(VLOOKUP(C276, ListOfSitesTable, 2, FALSE), ""))))</f>
        <v/>
      </c>
      <c r="E276" s="758"/>
      <c r="F276" s="759"/>
      <c r="G276" s="699"/>
      <c r="H276" s="700"/>
      <c r="I276" s="701"/>
      <c r="J276" s="243" t="b">
        <v>0</v>
      </c>
      <c r="K276" s="238" t="b">
        <v>0</v>
      </c>
      <c r="L276" s="17" t="str">
        <f t="shared" si="4"/>
        <v/>
      </c>
      <c r="M276" s="10"/>
      <c r="N276" s="10"/>
      <c r="O276" s="10"/>
      <c r="P276" s="10"/>
      <c r="Q276" s="10"/>
    </row>
    <row r="277" spans="3:17" hidden="1" outlineLevel="1" x14ac:dyDescent="0.3">
      <c r="C277" s="231"/>
      <c r="D277" s="757" t="str">
        <f>IF(C277 = "", "",
IF(COUNTIF($C$188:C276, C277), "VALUE INCONSISTENCY",
IF(AND(COUNTIF('General Information'!$C$450:$C$549, C277),
       INDEX('General Information'!$D$450:$D$549, MATCH(C277, 'General Information'!$C$450:$C$549, 0)) = ""),
   "VALUE INCONSISTENCY",
IFERROR(VLOOKUP(C277, ListOfSitesTable, 5, FALSE), "") &amp; " " &amp;
IFERROR(VLOOKUP(C277, ListOfSitesTable, 4, FALSE), "") &amp; " " &amp;
IFERROR(VLOOKUP(C277, ListOfSitesTable, 2, FALSE), ""))))</f>
        <v/>
      </c>
      <c r="E277" s="758"/>
      <c r="F277" s="759"/>
      <c r="G277" s="699"/>
      <c r="H277" s="700"/>
      <c r="I277" s="701"/>
      <c r="J277" s="243" t="b">
        <v>0</v>
      </c>
      <c r="K277" s="238" t="b">
        <v>0</v>
      </c>
      <c r="L277" s="17" t="str">
        <f t="shared" si="4"/>
        <v/>
      </c>
      <c r="M277" s="10"/>
      <c r="N277" s="10"/>
      <c r="O277" s="10"/>
      <c r="P277" s="10"/>
      <c r="Q277" s="10"/>
    </row>
    <row r="278" spans="3:17" hidden="1" outlineLevel="1" x14ac:dyDescent="0.3">
      <c r="C278" s="231"/>
      <c r="D278" s="757" t="str">
        <f>IF(C278 = "", "",
IF(COUNTIF($C$188:C277, C278), "VALUE INCONSISTENCY",
IF(AND(COUNTIF('General Information'!$C$450:$C$549, C278),
       INDEX('General Information'!$D$450:$D$549, MATCH(C278, 'General Information'!$C$450:$C$549, 0)) = ""),
   "VALUE INCONSISTENCY",
IFERROR(VLOOKUP(C278, ListOfSitesTable, 5, FALSE), "") &amp; " " &amp;
IFERROR(VLOOKUP(C278, ListOfSitesTable, 4, FALSE), "") &amp; " " &amp;
IFERROR(VLOOKUP(C278, ListOfSitesTable, 2, FALSE), ""))))</f>
        <v/>
      </c>
      <c r="E278" s="758"/>
      <c r="F278" s="759"/>
      <c r="G278" s="699"/>
      <c r="H278" s="700"/>
      <c r="I278" s="701"/>
      <c r="J278" s="243" t="b">
        <v>0</v>
      </c>
      <c r="K278" s="238" t="b">
        <v>0</v>
      </c>
      <c r="L278" s="17" t="str">
        <f t="shared" si="4"/>
        <v/>
      </c>
      <c r="M278" s="10"/>
      <c r="N278" s="10"/>
      <c r="O278" s="10"/>
      <c r="P278" s="10"/>
      <c r="Q278" s="10"/>
    </row>
    <row r="279" spans="3:17" hidden="1" outlineLevel="1" x14ac:dyDescent="0.3">
      <c r="C279" s="231"/>
      <c r="D279" s="757" t="str">
        <f>IF(C279 = "", "",
IF(COUNTIF($C$188:C278, C279), "VALUE INCONSISTENCY",
IF(AND(COUNTIF('General Information'!$C$450:$C$549, C279),
       INDEX('General Information'!$D$450:$D$549, MATCH(C279, 'General Information'!$C$450:$C$549, 0)) = ""),
   "VALUE INCONSISTENCY",
IFERROR(VLOOKUP(C279, ListOfSitesTable, 5, FALSE), "") &amp; " " &amp;
IFERROR(VLOOKUP(C279, ListOfSitesTable, 4, FALSE), "") &amp; " " &amp;
IFERROR(VLOOKUP(C279, ListOfSitesTable, 2, FALSE), ""))))</f>
        <v/>
      </c>
      <c r="E279" s="758"/>
      <c r="F279" s="759"/>
      <c r="G279" s="699"/>
      <c r="H279" s="700"/>
      <c r="I279" s="701"/>
      <c r="J279" s="243" t="b">
        <v>0</v>
      </c>
      <c r="K279" s="238" t="b">
        <v>0</v>
      </c>
      <c r="L279" s="17" t="str">
        <f t="shared" si="4"/>
        <v/>
      </c>
      <c r="M279" s="10"/>
      <c r="N279" s="10"/>
      <c r="O279" s="10"/>
      <c r="P279" s="10"/>
      <c r="Q279" s="10"/>
    </row>
    <row r="280" spans="3:17" hidden="1" outlineLevel="1" x14ac:dyDescent="0.3">
      <c r="C280" s="231"/>
      <c r="D280" s="757" t="str">
        <f>IF(C280 = "", "",
IF(COUNTIF($C$188:C279, C280), "VALUE INCONSISTENCY",
IF(AND(COUNTIF('General Information'!$C$450:$C$549, C280),
       INDEX('General Information'!$D$450:$D$549, MATCH(C280, 'General Information'!$C$450:$C$549, 0)) = ""),
   "VALUE INCONSISTENCY",
IFERROR(VLOOKUP(C280, ListOfSitesTable, 5, FALSE), "") &amp; " " &amp;
IFERROR(VLOOKUP(C280, ListOfSitesTable, 4, FALSE), "") &amp; " " &amp;
IFERROR(VLOOKUP(C280, ListOfSitesTable, 2, FALSE), ""))))</f>
        <v/>
      </c>
      <c r="E280" s="758"/>
      <c r="F280" s="759"/>
      <c r="G280" s="699"/>
      <c r="H280" s="700"/>
      <c r="I280" s="701"/>
      <c r="J280" s="243" t="b">
        <v>0</v>
      </c>
      <c r="K280" s="238" t="b">
        <v>0</v>
      </c>
      <c r="L280" s="17" t="str">
        <f t="shared" si="4"/>
        <v/>
      </c>
      <c r="M280" s="10"/>
      <c r="N280" s="10"/>
      <c r="O280" s="10"/>
      <c r="P280" s="10"/>
      <c r="Q280" s="10"/>
    </row>
    <row r="281" spans="3:17" hidden="1" outlineLevel="1" x14ac:dyDescent="0.3">
      <c r="C281" s="231"/>
      <c r="D281" s="757" t="str">
        <f>IF(C281 = "", "",
IF(COUNTIF($C$188:C280, C281), "VALUE INCONSISTENCY",
IF(AND(COUNTIF('General Information'!$C$450:$C$549, C281),
       INDEX('General Information'!$D$450:$D$549, MATCH(C281, 'General Information'!$C$450:$C$549, 0)) = ""),
   "VALUE INCONSISTENCY",
IFERROR(VLOOKUP(C281, ListOfSitesTable, 5, FALSE), "") &amp; " " &amp;
IFERROR(VLOOKUP(C281, ListOfSitesTable, 4, FALSE), "") &amp; " " &amp;
IFERROR(VLOOKUP(C281, ListOfSitesTable, 2, FALSE), ""))))</f>
        <v/>
      </c>
      <c r="E281" s="758"/>
      <c r="F281" s="759"/>
      <c r="G281" s="699"/>
      <c r="H281" s="700"/>
      <c r="I281" s="701"/>
      <c r="J281" s="243" t="b">
        <v>0</v>
      </c>
      <c r="K281" s="238" t="b">
        <v>0</v>
      </c>
      <c r="L281" s="17" t="str">
        <f t="shared" si="4"/>
        <v/>
      </c>
      <c r="M281" s="10"/>
      <c r="N281" s="10"/>
      <c r="O281" s="10"/>
      <c r="P281" s="10"/>
      <c r="Q281" s="10"/>
    </row>
    <row r="282" spans="3:17" hidden="1" outlineLevel="1" x14ac:dyDescent="0.3">
      <c r="C282" s="231"/>
      <c r="D282" s="757" t="str">
        <f>IF(C282 = "", "",
IF(COUNTIF($C$188:C281, C282), "VALUE INCONSISTENCY",
IF(AND(COUNTIF('General Information'!$C$450:$C$549, C282),
       INDEX('General Information'!$D$450:$D$549, MATCH(C282, 'General Information'!$C$450:$C$549, 0)) = ""),
   "VALUE INCONSISTENCY",
IFERROR(VLOOKUP(C282, ListOfSitesTable, 5, FALSE), "") &amp; " " &amp;
IFERROR(VLOOKUP(C282, ListOfSitesTable, 4, FALSE), "") &amp; " " &amp;
IFERROR(VLOOKUP(C282, ListOfSitesTable, 2, FALSE), ""))))</f>
        <v/>
      </c>
      <c r="E282" s="758"/>
      <c r="F282" s="759"/>
      <c r="G282" s="699"/>
      <c r="H282" s="700"/>
      <c r="I282" s="701"/>
      <c r="J282" s="243" t="b">
        <v>0</v>
      </c>
      <c r="K282" s="238" t="b">
        <v>0</v>
      </c>
      <c r="L282" s="17" t="str">
        <f t="shared" si="4"/>
        <v/>
      </c>
      <c r="M282" s="10"/>
      <c r="N282" s="10"/>
      <c r="O282" s="10"/>
      <c r="P282" s="10"/>
      <c r="Q282" s="10"/>
    </row>
    <row r="283" spans="3:17" hidden="1" outlineLevel="1" x14ac:dyDescent="0.3">
      <c r="C283" s="231"/>
      <c r="D283" s="757" t="str">
        <f>IF(C283 = "", "",
IF(COUNTIF($C$188:C282, C283), "VALUE INCONSISTENCY",
IF(AND(COUNTIF('General Information'!$C$450:$C$549, C283),
       INDEX('General Information'!$D$450:$D$549, MATCH(C283, 'General Information'!$C$450:$C$549, 0)) = ""),
   "VALUE INCONSISTENCY",
IFERROR(VLOOKUP(C283, ListOfSitesTable, 5, FALSE), "") &amp; " " &amp;
IFERROR(VLOOKUP(C283, ListOfSitesTable, 4, FALSE), "") &amp; " " &amp;
IFERROR(VLOOKUP(C283, ListOfSitesTable, 2, FALSE), ""))))</f>
        <v/>
      </c>
      <c r="E283" s="758"/>
      <c r="F283" s="759"/>
      <c r="G283" s="699"/>
      <c r="H283" s="700"/>
      <c r="I283" s="701"/>
      <c r="J283" s="243" t="b">
        <v>0</v>
      </c>
      <c r="K283" s="238" t="b">
        <v>0</v>
      </c>
      <c r="L283" s="17" t="str">
        <f t="shared" si="4"/>
        <v/>
      </c>
      <c r="M283" s="10"/>
      <c r="N283" s="10"/>
      <c r="O283" s="10"/>
      <c r="P283" s="10"/>
      <c r="Q283" s="10"/>
    </row>
    <row r="284" spans="3:17" hidden="1" outlineLevel="1" x14ac:dyDescent="0.3">
      <c r="C284" s="231"/>
      <c r="D284" s="757" t="str">
        <f>IF(C284 = "", "",
IF(COUNTIF($C$188:C283, C284), "VALUE INCONSISTENCY",
IF(AND(COUNTIF('General Information'!$C$450:$C$549, C284),
       INDEX('General Information'!$D$450:$D$549, MATCH(C284, 'General Information'!$C$450:$C$549, 0)) = ""),
   "VALUE INCONSISTENCY",
IFERROR(VLOOKUP(C284, ListOfSitesTable, 5, FALSE), "") &amp; " " &amp;
IFERROR(VLOOKUP(C284, ListOfSitesTable, 4, FALSE), "") &amp; " " &amp;
IFERROR(VLOOKUP(C284, ListOfSitesTable, 2, FALSE), ""))))</f>
        <v/>
      </c>
      <c r="E284" s="758"/>
      <c r="F284" s="759"/>
      <c r="G284" s="699"/>
      <c r="H284" s="700"/>
      <c r="I284" s="701"/>
      <c r="J284" s="243" t="b">
        <v>0</v>
      </c>
      <c r="K284" s="238" t="b">
        <v>0</v>
      </c>
      <c r="L284" s="17" t="str">
        <f t="shared" si="4"/>
        <v/>
      </c>
      <c r="M284" s="10"/>
      <c r="N284" s="10"/>
      <c r="O284" s="10"/>
      <c r="P284" s="10"/>
      <c r="Q284" s="10"/>
    </row>
    <row r="285" spans="3:17" hidden="1" outlineLevel="1" x14ac:dyDescent="0.3">
      <c r="C285" s="231"/>
      <c r="D285" s="757" t="str">
        <f>IF(C285 = "", "",
IF(COUNTIF($C$188:C284, C285), "VALUE INCONSISTENCY",
IF(AND(COUNTIF('General Information'!$C$450:$C$549, C285),
       INDEX('General Information'!$D$450:$D$549, MATCH(C285, 'General Information'!$C$450:$C$549, 0)) = ""),
   "VALUE INCONSISTENCY",
IFERROR(VLOOKUP(C285, ListOfSitesTable, 5, FALSE), "") &amp; " " &amp;
IFERROR(VLOOKUP(C285, ListOfSitesTable, 4, FALSE), "") &amp; " " &amp;
IFERROR(VLOOKUP(C285, ListOfSitesTable, 2, FALSE), ""))))</f>
        <v/>
      </c>
      <c r="E285" s="758"/>
      <c r="F285" s="759"/>
      <c r="G285" s="699"/>
      <c r="H285" s="700"/>
      <c r="I285" s="701"/>
      <c r="J285" s="243" t="b">
        <v>0</v>
      </c>
      <c r="K285" s="238" t="b">
        <v>0</v>
      </c>
      <c r="L285" s="17" t="str">
        <f t="shared" si="4"/>
        <v/>
      </c>
      <c r="M285" s="10"/>
      <c r="N285" s="10"/>
      <c r="O285" s="10"/>
      <c r="P285" s="10"/>
      <c r="Q285" s="10"/>
    </row>
    <row r="286" spans="3:17" hidden="1" outlineLevel="1" x14ac:dyDescent="0.3">
      <c r="C286" s="231"/>
      <c r="D286" s="757" t="str">
        <f>IF(C286 = "", "",
IF(COUNTIF($C$188:C211, C286), "VALUE INCONSISTENCY",
IF(AND(COUNTIF('General Information'!$C$450:$C$549, C286),
       INDEX('General Information'!$D$450:$D$549, MATCH(C286, 'General Information'!$C$450:$C$549, 0)) = ""),
   "VALUE INCONSISTENCY",
IFERROR(VLOOKUP(C286, ListOfSitesTable, 5, FALSE), "") &amp; " " &amp;
IFERROR(VLOOKUP(C286, ListOfSitesTable, 4, FALSE), "") &amp; " " &amp;
IFERROR(VLOOKUP(C286, ListOfSitesTable, 2, FALSE), ""))))</f>
        <v/>
      </c>
      <c r="E286" s="758"/>
      <c r="F286" s="759"/>
      <c r="G286" s="948"/>
      <c r="H286" s="700"/>
      <c r="I286" s="701"/>
      <c r="J286" s="243" t="b">
        <v>0</v>
      </c>
      <c r="K286" s="238" t="b">
        <v>0</v>
      </c>
      <c r="L286" s="17" t="str">
        <f t="shared" si="4"/>
        <v/>
      </c>
      <c r="M286" s="10"/>
      <c r="N286" s="10"/>
      <c r="O286" s="10"/>
      <c r="P286" s="10"/>
      <c r="Q286" s="10"/>
    </row>
    <row r="287" spans="3:17" ht="15" hidden="1" outlineLevel="1" thickBot="1" x14ac:dyDescent="0.35">
      <c r="C287" s="234"/>
      <c r="D287" s="757" t="str">
        <f>IF(C287 = "", "",
IF(COUNTIF($C$188:C286, C287), "VALUE INCONSISTENCY",
IF(AND(COUNTIF('General Information'!$C$450:$C$549, C287),
       INDEX('General Information'!$D$450:$D$549, MATCH(C287, 'General Information'!$C$450:$C$549, 0)) = ""),
   "VALUE INCONSISTENCY",
IFERROR(VLOOKUP(C287, ListOfSitesTable, 5, FALSE), "") &amp; " " &amp;
IFERROR(VLOOKUP(C287, ListOfSitesTable, 4, FALSE), "") &amp; " " &amp;
IFERROR(VLOOKUP(C287, ListOfSitesTable, 2, FALSE), ""))))</f>
        <v/>
      </c>
      <c r="E287" s="758"/>
      <c r="F287" s="759"/>
      <c r="G287" s="946"/>
      <c r="H287" s="902"/>
      <c r="I287" s="947"/>
      <c r="J287" s="244" t="b">
        <v>0</v>
      </c>
      <c r="K287" s="239" t="b">
        <v>0</v>
      </c>
      <c r="L287" s="17" t="str">
        <f>IF($G$184=FALSE, "",
    IF(AND($G$184=TRUE, TRIM(D287)&lt;&gt;"", TRIM(G287)&lt;&gt;"", OR(J287=TRUE, K287=TRUE)), template_label_ok,
        IF(AND($G$184=TRUE, TRIM(D287)&lt;&gt;"", TRIM(G287)&lt;&gt;"", J287=FALSE, K287=FALSE), template_label_missing_value,
            IF(AND($G$184=TRUE, TRIM(D287)&lt;&gt;"", TRIM(G287)="", J287=FALSE, K287=FALSE), template_label_missing_value,
                IF(AND($G$184=TRUE, TRIM(D287)&lt;&gt;"", TRIM(G287)="", OR(J287=TRUE, K287=TRUE)), template_label_missing_value,
                    IF(AND($G$184=TRUE, TRIM(D287)="", TRIM(G287)&lt;&gt;"", J287=FALSE, K287=FALSE), template_label_missing_value,
                        IF(AND($G$184=TRUE, TRIM(D287)="", TRIM(G287)="", OR(J287=TRUE, K287=TRUE)), template_label_missing_value,
                            IF(AND($G$184=TRUE, TRIM(D287)="", TRIM(G287)&lt;&gt;"", OR(J287=TRUE, K287=TRUE)), template_label_missing_value,
                                ""
                            )
                        )
                    )
                )
            )
        )
    )
)</f>
        <v/>
      </c>
      <c r="M287" s="10"/>
      <c r="N287" s="10"/>
      <c r="O287" s="10"/>
      <c r="P287" s="10"/>
      <c r="Q287" s="10"/>
    </row>
    <row r="288" spans="3:17" ht="15" collapsed="1" thickBot="1" x14ac:dyDescent="0.35">
      <c r="D288" s="14"/>
      <c r="E288" s="14"/>
      <c r="F288" s="14"/>
      <c r="H288" s="14"/>
      <c r="I288" s="14"/>
      <c r="J288" s="14"/>
    </row>
    <row r="289" spans="3:12" x14ac:dyDescent="0.3">
      <c r="C289" s="779" t="str">
        <f>template_label_b5_biodiversity_land_use&amp;" "&amp;template_label_from&amp;" "&amp;template_starting_date_display&amp;" "&amp;template_label_to&amp;" "&amp;template_ending_date_display&amp;" " &amp; template_label_may</f>
        <v>B5 - Biodiversity - Land-use from 2024-01-01 to 2024-12-31 [May (optional)]</v>
      </c>
      <c r="D289" s="780"/>
      <c r="E289" s="780"/>
      <c r="F289" s="781"/>
    </row>
    <row r="290" spans="3:12" x14ac:dyDescent="0.3">
      <c r="C290" s="782">
        <v>34</v>
      </c>
      <c r="D290" s="783"/>
      <c r="E290" s="783"/>
      <c r="F290" s="784"/>
    </row>
    <row r="291" spans="3:12" x14ac:dyDescent="0.3">
      <c r="C291" s="713" t="s">
        <v>5650</v>
      </c>
      <c r="D291" s="714"/>
      <c r="E291" s="714"/>
      <c r="F291" s="715"/>
    </row>
    <row r="292" spans="3:12" ht="16.95" customHeight="1" x14ac:dyDescent="0.3">
      <c r="C292" s="944" t="str">
        <f>template_label_please_select_the_unit_used_for_the_area</f>
        <v>Please select the unit used for the area (i.e. either hectares or m²):</v>
      </c>
      <c r="D292" s="856"/>
      <c r="E292" s="856"/>
      <c r="F292" s="933"/>
    </row>
    <row r="293" spans="3:12" x14ac:dyDescent="0.3">
      <c r="C293" s="945" t="s">
        <v>9555</v>
      </c>
      <c r="D293" s="654"/>
      <c r="E293" s="654"/>
      <c r="F293" s="655"/>
      <c r="G293" s="16" t="str">
        <f>IF(C293&lt;&gt;"", template_label_ok, IF(AND(OR(D295&lt;&gt;"", D296&lt;&gt;"", D297&lt;&gt;"", D298&lt;&gt;""), C293=""), template_label_missing_value, ""))</f>
        <v>OK</v>
      </c>
      <c r="H293" s="122"/>
      <c r="K293" s="16"/>
    </row>
    <row r="294" spans="3:12" x14ac:dyDescent="0.3">
      <c r="C294" s="123" t="str">
        <f>template_label_land_use_type</f>
        <v>Land-use type</v>
      </c>
      <c r="D294" s="856" t="str">
        <f>template_label_area</f>
        <v>Area</v>
      </c>
      <c r="E294" s="856"/>
      <c r="F294" s="933"/>
      <c r="G294" s="16"/>
      <c r="H294" s="122"/>
      <c r="K294" s="16"/>
    </row>
    <row r="295" spans="3:12" x14ac:dyDescent="0.3">
      <c r="C295" s="126" t="str">
        <f>template_label_total_sealed_area</f>
        <v>Total sealed area</v>
      </c>
      <c r="D295" s="897">
        <v>25</v>
      </c>
      <c r="E295" s="897"/>
      <c r="F295" s="898"/>
      <c r="G295" s="737" t="str">
        <f>IF(AND(G293=template_label_ok, COUNTIF(D295:F298,"&lt;&gt;")&gt;0),
    template_label_ok,
    IF(AND(G293=template_label_ok, COUNTA(D295:F298)=0),
        template_label_missing_value,
        IF(AND(G293=template_label_missing_value, COUNTIF(D295:F298,"&lt;&gt;")&gt;0),
            template_label_value_inconsistency,
            ""
        )
    )
)</f>
        <v>OK</v>
      </c>
      <c r="H295" s="125"/>
      <c r="K295" s="16"/>
    </row>
    <row r="296" spans="3:12" x14ac:dyDescent="0.3">
      <c r="C296" s="126" t="str">
        <f>template_label_total_nature_oriented_area_on_site</f>
        <v>Total nature-oriented area on-site</v>
      </c>
      <c r="D296" s="897">
        <v>100</v>
      </c>
      <c r="E296" s="897"/>
      <c r="F296" s="898"/>
      <c r="G296" s="737"/>
      <c r="H296" s="125"/>
      <c r="K296" s="16"/>
    </row>
    <row r="297" spans="3:12" x14ac:dyDescent="0.3">
      <c r="C297" s="126" t="str">
        <f>template_label_total_nature_oriented_area_off_site</f>
        <v>Total nature-oriented area off-site</v>
      </c>
      <c r="D297" s="897">
        <v>35</v>
      </c>
      <c r="E297" s="897"/>
      <c r="F297" s="898"/>
      <c r="G297" s="737"/>
      <c r="H297" s="125"/>
      <c r="K297" s="16"/>
    </row>
    <row r="298" spans="3:12" ht="15" thickBot="1" x14ac:dyDescent="0.35">
      <c r="C298" s="113" t="str">
        <f>template_label_total_use_of_land</f>
        <v>Total use of land</v>
      </c>
      <c r="D298" s="941">
        <v>200</v>
      </c>
      <c r="E298" s="941"/>
      <c r="F298" s="942"/>
      <c r="G298" s="737"/>
      <c r="H298" s="125"/>
      <c r="K298" s="16"/>
    </row>
    <row r="299" spans="3:12" ht="15" thickBot="1" x14ac:dyDescent="0.35"/>
    <row r="300" spans="3:12" x14ac:dyDescent="0.3">
      <c r="C300" s="565" t="str">
        <f>template_label_b6_water_withdrawal&amp;" "&amp;template_label_from&amp;" "&amp;template_starting_date_display&amp;" "&amp;template_label_to&amp;" "&amp;template_ending_date_display&amp;" "&amp;template_label_always_to_be_reported</f>
        <v>B6 - Water Withdrawal from 2024-01-01 to 2024-12-31 [Always to be reported]</v>
      </c>
      <c r="D300" s="954"/>
      <c r="E300" s="15"/>
      <c r="F300" s="15"/>
      <c r="G300" s="16"/>
      <c r="H300" s="16"/>
      <c r="I300" s="16"/>
      <c r="K300" s="16"/>
    </row>
    <row r="301" spans="3:12" x14ac:dyDescent="0.3">
      <c r="C301" s="553">
        <v>35</v>
      </c>
      <c r="D301" s="917"/>
      <c r="E301" s="127"/>
      <c r="F301" s="127"/>
      <c r="G301" s="16"/>
      <c r="H301" s="16"/>
      <c r="I301" s="16"/>
    </row>
    <row r="302" spans="3:12" x14ac:dyDescent="0.3">
      <c r="C302" s="952" t="s">
        <v>9538</v>
      </c>
      <c r="D302" s="953"/>
      <c r="E302" s="128"/>
      <c r="F302" s="128"/>
      <c r="G302" s="16"/>
      <c r="H302" s="16"/>
      <c r="I302" s="16"/>
      <c r="K302" s="52"/>
      <c r="L302" s="52"/>
    </row>
    <row r="303" spans="3:12" x14ac:dyDescent="0.3">
      <c r="C303" s="99" t="str">
        <f>template_label_total_amount_of_water_withdrawn_from_all_sites</f>
        <v>Total amount of water withdrawn from all sites (cubic meters m³)</v>
      </c>
      <c r="D303" s="273">
        <v>742.5</v>
      </c>
      <c r="E303" s="962" t="str">
        <f>IF(
    AND(
        OR(
            'General Information'!E122="Option A (Basic Module only)",
            'General Information'!E122="Option B (Basic Module and Comprehensive Module)"
        ),
        TotalAmountOfWaterWithdrawnFromAllSites=""
    ),
    template_label_missing_value,
    IF('General Information'!E122="", "", template_label_ok)
)</f>
        <v>OK</v>
      </c>
      <c r="F303" s="962"/>
      <c r="G303" s="16"/>
      <c r="H303" s="16"/>
      <c r="I303" s="16"/>
    </row>
    <row r="304" spans="3:12" ht="15" thickBot="1" x14ac:dyDescent="0.35">
      <c r="C304" s="129" t="str">
        <f>template_label_amount_of_water_withdrawn_at_sites_located_in_areas_of_high_water_stress</f>
        <v>Amount of water withdrawn at sites located in areas of high water-stress (cubic meters m³)</v>
      </c>
      <c r="D304" s="274">
        <v>150</v>
      </c>
      <c r="E304" s="943" t="str">
        <f>IF(
    AND(
        OR(
            'General Information'!E122="Option A (Basic Module only)",
            'General Information'!E122="Option B (Basic Module and Comprehensive Module)"
        ),
        AmountOfWaterWithdrawnAtSitesLocatedInAreasOfHighWaterStress=""
    ),
    template_label_missing_value,
    IF('General Information'!E122="", "", template_label_ok)
)</f>
        <v>OK</v>
      </c>
      <c r="F304" s="943"/>
      <c r="G304" s="16"/>
      <c r="H304" s="16"/>
      <c r="I304" s="16"/>
    </row>
    <row r="305" spans="3:12" ht="15" thickBot="1" x14ac:dyDescent="0.35">
      <c r="K305" s="38"/>
    </row>
    <row r="306" spans="3:12" x14ac:dyDescent="0.3">
      <c r="C306" s="565" t="str">
        <f>template_label_b6_water_consumption&amp;" "&amp;template_label_from&amp;" "&amp;template_starting_date_display&amp;" "&amp;template_label_to&amp;" "&amp;template_ending_date_display&amp;" "&amp;template_label_if_applicable</f>
        <v>B6 - Water Consumption from 2024-01-01 to 2024-12-31 [If applicable]</v>
      </c>
      <c r="D306" s="954"/>
      <c r="E306" s="15"/>
      <c r="F306" s="15"/>
    </row>
    <row r="307" spans="3:12" x14ac:dyDescent="0.3">
      <c r="C307" s="782">
        <v>36</v>
      </c>
      <c r="D307" s="784"/>
      <c r="E307" s="127"/>
      <c r="F307" s="127"/>
    </row>
    <row r="308" spans="3:12" x14ac:dyDescent="0.3">
      <c r="C308" s="668" t="s">
        <v>5651</v>
      </c>
      <c r="D308" s="670"/>
      <c r="E308" s="128"/>
      <c r="F308" s="128"/>
    </row>
    <row r="309" spans="3:12" ht="50.7" customHeight="1" x14ac:dyDescent="0.3">
      <c r="C309" s="131"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309" s="146" t="b">
        <v>1</v>
      </c>
      <c r="E309" s="130"/>
      <c r="F309" s="130"/>
      <c r="G309" s="16"/>
      <c r="H309" s="16"/>
      <c r="I309" s="16"/>
    </row>
    <row r="310" spans="3:12" ht="15" thickBot="1" x14ac:dyDescent="0.35">
      <c r="C310" s="129" t="str">
        <f>template_label_water_discharge_from_undertaking_production_processes</f>
        <v>Water discharge from undertaking production processes (m³)</v>
      </c>
      <c r="D310" s="290">
        <v>100</v>
      </c>
      <c r="E310" s="943" t="str">
        <f>IF(
    AND(D309=TRUE, D310=""),
    template_label_missing_value,
    IF(AND(D309=TRUE, D310&lt;&gt;""),
        template_label_ok,
        ""
    )
)</f>
        <v>OK</v>
      </c>
      <c r="F310" s="943"/>
      <c r="G310" s="16"/>
      <c r="H310" s="16"/>
      <c r="I310" s="16"/>
    </row>
    <row r="311" spans="3:12" ht="21" customHeight="1" thickBot="1" x14ac:dyDescent="0.35">
      <c r="C311" s="132" t="str">
        <f>template_label_total_water_consumption</f>
        <v>Total water consumption (m³)</v>
      </c>
      <c r="D311" s="291">
        <f>IF(D310&lt;&gt;"",$D$303-$D$310,"-")</f>
        <v>642.5</v>
      </c>
      <c r="E311" s="133"/>
      <c r="F311" s="133"/>
    </row>
    <row r="312" spans="3:12" ht="15" thickBot="1" x14ac:dyDescent="0.35"/>
    <row r="313" spans="3:12" x14ac:dyDescent="0.3">
      <c r="C313" s="779"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2024-01-01 to 2024-12-31 [Always to be reported]</v>
      </c>
      <c r="D313" s="780"/>
      <c r="E313" s="950"/>
      <c r="F313" s="950"/>
      <c r="G313" s="781"/>
      <c r="H313" s="16"/>
      <c r="I313" s="16"/>
    </row>
    <row r="314" spans="3:12" x14ac:dyDescent="0.3">
      <c r="C314" s="782">
        <v>37</v>
      </c>
      <c r="D314" s="783"/>
      <c r="E314" s="951"/>
      <c r="F314" s="951"/>
      <c r="G314" s="784"/>
      <c r="H314" s="134"/>
      <c r="I314" s="134"/>
    </row>
    <row r="315" spans="3:12" x14ac:dyDescent="0.3">
      <c r="C315" s="713">
        <v>94</v>
      </c>
      <c r="D315" s="714"/>
      <c r="E315" s="612"/>
      <c r="F315" s="612"/>
      <c r="G315" s="715"/>
      <c r="H315" s="135"/>
      <c r="I315" s="135"/>
    </row>
    <row r="316" spans="3:12" x14ac:dyDescent="0.3">
      <c r="C316" s="97" t="str">
        <f>template_label_undertaking_applies_circular_economy_principles</f>
        <v>Undertaking applies circular economy principles</v>
      </c>
      <c r="D316" s="894" t="s">
        <v>2907</v>
      </c>
      <c r="E316" s="895"/>
      <c r="F316" s="895"/>
      <c r="G316" s="896"/>
      <c r="H316" s="893" t="str">
        <f>IF(
    AND(
        OR(
            'General Information'!E122="Option A (Basic Module only)",
            'General Information'!E122="Option B (Basic Module and Comprehensive Module)"
        ),
        UndertakingAppliesCircularEconomyPrinciples=""
    ),
    template_label_missing_value,
    IF('General Information'!E122="", "", template_label_ok)
)</f>
        <v>OK</v>
      </c>
      <c r="I316" s="568"/>
      <c r="J316" s="16"/>
    </row>
    <row r="317" spans="3:12" ht="15" thickBot="1" x14ac:dyDescent="0.35">
      <c r="C317" s="116" t="str">
        <f>template_label_description_of_how_it_applies_these_principles</f>
        <v>Description of how it applies these principles</v>
      </c>
      <c r="D317" s="587"/>
      <c r="E317" s="562"/>
      <c r="F317" s="562"/>
      <c r="G317" s="588"/>
      <c r="H317" s="893" t="str">
        <f>IF(
    AND(D316="YES", D317=""),
    template_label_missing_value,
    IF(
        AND(D316="YES", D317&lt;&gt;""),
        template_label_ok,
        IF(
            AND(D316="NO", D317&lt;&gt;""),
            template_label_value_inconsistency,
            ""
        )
    )
)</f>
        <v/>
      </c>
      <c r="I317" s="568"/>
      <c r="J317" s="16"/>
    </row>
    <row r="318" spans="3:12" ht="15" thickBot="1" x14ac:dyDescent="0.35"/>
    <row r="319" spans="3:12" x14ac:dyDescent="0.3">
      <c r="C319" s="779" t="str">
        <f>template_label_b7_waste_generated&amp;" "&amp;template_label_from&amp;" "&amp;template_starting_date_display&amp;" "&amp;template_label_to&amp;" "&amp;template_ending_date_display&amp;" "&amp;template_label_always_to_be_reported</f>
        <v>B7 - Waste generated from 2024-01-01 to 2024-12-31 [Always to be reported]</v>
      </c>
      <c r="D319" s="780"/>
      <c r="E319" s="780"/>
      <c r="F319" s="780"/>
      <c r="G319" s="780"/>
      <c r="H319" s="780"/>
      <c r="I319" s="780"/>
      <c r="J319" s="780"/>
      <c r="K319" s="780"/>
      <c r="L319" s="781"/>
    </row>
    <row r="320" spans="3:12" x14ac:dyDescent="0.3">
      <c r="C320" s="782" t="s">
        <v>3726</v>
      </c>
      <c r="D320" s="783"/>
      <c r="E320" s="783"/>
      <c r="F320" s="783"/>
      <c r="G320" s="783"/>
      <c r="H320" s="783"/>
      <c r="I320" s="783"/>
      <c r="J320" s="783"/>
      <c r="K320" s="783"/>
      <c r="L320" s="784"/>
    </row>
    <row r="321" spans="3:14" x14ac:dyDescent="0.3">
      <c r="C321" s="713" t="s">
        <v>5652</v>
      </c>
      <c r="D321" s="714"/>
      <c r="E321" s="714"/>
      <c r="F321" s="714"/>
      <c r="G321" s="714"/>
      <c r="H321" s="714"/>
      <c r="I321" s="714"/>
      <c r="J321" s="714"/>
      <c r="K321" s="714"/>
      <c r="L321" s="715"/>
    </row>
    <row r="322" spans="3:14" ht="49.2" customHeight="1" x14ac:dyDescent="0.3">
      <c r="C322" s="136" t="str">
        <f>template_label_row_id</f>
        <v>Row ID</v>
      </c>
      <c r="D322" s="906" t="str">
        <f>template_label_type_of_waste</f>
        <v>Type of waste</v>
      </c>
      <c r="E322" s="906"/>
      <c r="F322" s="906"/>
      <c r="G322" s="908" t="str">
        <f>template_label_unit_of_measurement</f>
        <v>Unit of measurement</v>
      </c>
      <c r="H322" s="908"/>
      <c r="I322" s="908"/>
      <c r="J322" s="137" t="str">
        <f>template_label_waste_diverted_to_recycle_or_reuse</f>
        <v>Waste diverted to recycle or reuse</v>
      </c>
      <c r="K322" s="138" t="str">
        <f>template_label_waste_directed_to_disposal</f>
        <v>Waste directed to disposal</v>
      </c>
      <c r="L322" s="139" t="str">
        <f>template_label_total_waste_recycled_reused_and_directed_to_disposal</f>
        <v>Amount of waste recycled reused and directed to disposal</v>
      </c>
    </row>
    <row r="323" spans="3:14" x14ac:dyDescent="0.3">
      <c r="C323" s="383">
        <v>1</v>
      </c>
      <c r="D323" s="712" t="s">
        <v>5569</v>
      </c>
      <c r="E323" s="712"/>
      <c r="F323" s="712"/>
      <c r="G323" s="706" t="s">
        <v>2761</v>
      </c>
      <c r="H323" s="706"/>
      <c r="I323" s="706"/>
      <c r="J323" s="275">
        <v>1200</v>
      </c>
      <c r="K323" s="276">
        <v>300</v>
      </c>
      <c r="L323" s="277">
        <f>IF(AND(D323="",J323="",K323=""),"-",SUM(J323:K323))</f>
        <v>1500</v>
      </c>
      <c r="M323" s="16" t="str">
        <f>IF(D323&lt;&gt;"", IF(
    IFERROR(LEN(LEFT(D323,FIND("-",D323)-1)),0)=13,
    IF(
        OR('General Information'!E122="Option A (Basic Module only)",
           'General Information'!E122="Option B (Basic Module and Comprehensive Module)"),
        IF(
            COUNTIF(enum_ListWasteCategories,D323)&gt;0,
            template_label_error,
            IF(
                OR(D323="",G323="",J323="",K323=""),
                template_label_missing_value,
                IF(
                    COUNTIF(D323:D422,D323)&gt;1,
                    template_label_value_inconsistency,
                    template_label_ok
                )
            )
        ),
        ""
    ),
    template_label_error
), "")</f>
        <v>OK</v>
      </c>
      <c r="N323" t="str">
        <f>template_label_type_of_waste_warning</f>
        <v>ℹ️  Please select a Type of waste (Hazardous or Non-Hazardous) rather than a category else an ERROR message will appear.</v>
      </c>
    </row>
    <row r="324" spans="3:14" x14ac:dyDescent="0.3">
      <c r="C324" s="383">
        <v>2</v>
      </c>
      <c r="D324" s="712" t="s">
        <v>5373</v>
      </c>
      <c r="E324" s="712"/>
      <c r="F324" s="712"/>
      <c r="G324" s="706" t="s">
        <v>2757</v>
      </c>
      <c r="H324" s="706"/>
      <c r="I324" s="706"/>
      <c r="J324" s="278">
        <v>800</v>
      </c>
      <c r="K324" s="278">
        <v>400</v>
      </c>
      <c r="L324" s="279">
        <f t="shared" ref="L324:L422" si="5">IF(AND(D324="",J324="",K324=""),"-",SUM(J324:K324))</f>
        <v>1200</v>
      </c>
      <c r="M324" s="16" t="str">
        <f t="shared" ref="M324:M355" si="6">IF(
    IFERROR(LEN(LEFT(D324,FIND("-",D324)-1)),0)=0,
    "",
    IF(
        IFERROR(LEN(LEFT(D324,FIND("-",D324)-1)),0)=13,
        IF(
            COUNTIF(enum_ListWasteCategories,D324)&gt;0,
            template_label_error,
            IF(
                AND(D324&lt;&gt;"",G324&lt;&gt;"",J324&lt;&gt;"",K324&lt;&gt;""),
                IF(COUNTIF($D$323:$D$422,D324)&gt;1,
                    template_label_value_inconsistency,
                    template_label_ok
                ),
                IF(AND(D324&lt;&gt;"",G324&lt;&gt;"",J324&lt;&gt;"",K324=""),template_label_missing_value,
                IF(AND(D324&lt;&gt;"",G324&lt;&gt;"",J324="",K324&lt;&gt;""),template_label_missing_value,
                IF(AND(D324&lt;&gt;"",G324="",J324&lt;&gt;"",K324&lt;&gt;""),template_label_missing_value,
                IF(AND(D324="",G324&lt;&gt;"",J324&lt;&gt;"",K324&lt;&gt;""),template_label_missing_value,
                IF(AND(D324&lt;&gt;"",G324&lt;&gt;"",J324="",K324=""),template_label_missing_value,
                IF(AND(D324&lt;&gt;"",G324="",J324&lt;&gt;"",K324=""),template_label_missing_value,
                IF(AND(D324&lt;&gt;"",G324="",J324="",K324&lt;&gt;""),template_label_missing_value,
                IF(AND(D324="",G324="",J324&lt;&gt;"",K324&lt;&gt;""),template_label_missing_value,
                IF(AND(D324="",G324&lt;&gt;"",J324="",K324&lt;&gt;""),template_label_missing_value,
                IF(AND(D324="",G324&lt;&gt;"",J324&lt;&gt;"",K324=""),template_label_missing_value,
                IF(AND(D324="",G324="",J324="",K324&lt;&gt;""),template_label_missing_value,
                IF(AND(D324="",G324="",J324&lt;&gt;"",K324=""),template_label_missing_value,
                IF(AND(D324="",G324&lt;&gt;"",J324="",K324=""),template_label_missing_value,
                IF(AND(D324&lt;&gt;"",G324="",J324="",K324=""),template_label_missing_value,
                "")))))))))))))))),
        template_label_error
    )
)</f>
        <v>OK</v>
      </c>
    </row>
    <row r="325" spans="3:14" ht="15" thickBot="1" x14ac:dyDescent="0.35">
      <c r="C325" s="384">
        <v>3</v>
      </c>
      <c r="D325" s="904" t="s">
        <v>5151</v>
      </c>
      <c r="E325" s="904"/>
      <c r="F325" s="904"/>
      <c r="G325" s="905" t="s">
        <v>2761</v>
      </c>
      <c r="H325" s="905"/>
      <c r="I325" s="905"/>
      <c r="J325" s="280">
        <v>500</v>
      </c>
      <c r="K325" s="280">
        <v>200</v>
      </c>
      <c r="L325" s="281">
        <f>IF(AND(D325="",J325="",K325=""),"-",SUM(J325:K325))</f>
        <v>700</v>
      </c>
      <c r="M325" s="16" t="str">
        <f t="shared" si="6"/>
        <v>OK</v>
      </c>
      <c r="N325" t="str">
        <f>template_label_additional_rows_warning</f>
        <v>ℹ️  Lists can be expanded using the little [+] button on the left.  If the number of rows is not sufficient, those can be added by right clicking the second row and selecting "Insert row".</v>
      </c>
    </row>
    <row r="326" spans="3:14" outlineLevel="1" x14ac:dyDescent="0.3">
      <c r="C326" s="382">
        <v>4</v>
      </c>
      <c r="D326" s="907" t="s">
        <v>5299</v>
      </c>
      <c r="E326" s="907"/>
      <c r="F326" s="907"/>
      <c r="G326" s="949" t="s">
        <v>2761</v>
      </c>
      <c r="H326" s="949"/>
      <c r="I326" s="949"/>
      <c r="J326" s="282">
        <v>300</v>
      </c>
      <c r="K326" s="282">
        <v>100</v>
      </c>
      <c r="L326" s="283">
        <f t="shared" si="5"/>
        <v>400</v>
      </c>
      <c r="M326" s="16" t="str">
        <f t="shared" si="6"/>
        <v>OK</v>
      </c>
    </row>
    <row r="327" spans="3:14" outlineLevel="1" x14ac:dyDescent="0.3">
      <c r="C327" s="383">
        <v>5</v>
      </c>
      <c r="D327" s="712" t="s">
        <v>4773</v>
      </c>
      <c r="E327" s="712"/>
      <c r="F327" s="712"/>
      <c r="G327" s="706" t="s">
        <v>2761</v>
      </c>
      <c r="H327" s="706"/>
      <c r="I327" s="706"/>
      <c r="J327" s="278">
        <v>100</v>
      </c>
      <c r="K327" s="278">
        <v>150</v>
      </c>
      <c r="L327" s="279">
        <f t="shared" si="5"/>
        <v>250</v>
      </c>
      <c r="M327" s="16" t="str">
        <f t="shared" si="6"/>
        <v>OK</v>
      </c>
    </row>
    <row r="328" spans="3:14" outlineLevel="1" x14ac:dyDescent="0.3">
      <c r="C328" s="383">
        <v>6</v>
      </c>
      <c r="D328" s="712" t="s">
        <v>4766</v>
      </c>
      <c r="E328" s="712"/>
      <c r="F328" s="712"/>
      <c r="G328" s="706" t="s">
        <v>9556</v>
      </c>
      <c r="H328" s="706"/>
      <c r="I328" s="706"/>
      <c r="J328" s="278">
        <v>4000</v>
      </c>
      <c r="K328" s="278">
        <v>1000</v>
      </c>
      <c r="L328" s="279">
        <f>IF(AND(D328="",J328="",K328=""),"-",SUM(J328:K328))</f>
        <v>5000</v>
      </c>
      <c r="M328" s="16" t="str">
        <f t="shared" si="6"/>
        <v>OK</v>
      </c>
    </row>
    <row r="329" spans="3:14" outlineLevel="1" x14ac:dyDescent="0.3">
      <c r="C329" s="383">
        <v>7</v>
      </c>
      <c r="D329" s="712" t="s">
        <v>5249</v>
      </c>
      <c r="E329" s="712"/>
      <c r="F329" s="712"/>
      <c r="G329" s="706" t="s">
        <v>9556</v>
      </c>
      <c r="H329" s="706"/>
      <c r="I329" s="706"/>
      <c r="J329" s="278">
        <v>30</v>
      </c>
      <c r="K329" s="278">
        <v>70</v>
      </c>
      <c r="L329" s="279">
        <f>IF(AND(D329="",J329="",K329=""),"-",SUM(J329:K329))</f>
        <v>100</v>
      </c>
      <c r="M329" s="16" t="str">
        <f t="shared" si="6"/>
        <v>OK</v>
      </c>
    </row>
    <row r="330" spans="3:14" outlineLevel="1" x14ac:dyDescent="0.3">
      <c r="C330" s="383">
        <v>8</v>
      </c>
      <c r="D330" s="712"/>
      <c r="E330" s="712"/>
      <c r="F330" s="712"/>
      <c r="G330" s="706"/>
      <c r="H330" s="706"/>
      <c r="I330" s="706"/>
      <c r="J330" s="278"/>
      <c r="K330" s="278"/>
      <c r="L330" s="279" t="str">
        <f t="shared" si="5"/>
        <v>-</v>
      </c>
      <c r="M330" s="16" t="str">
        <f t="shared" si="6"/>
        <v/>
      </c>
    </row>
    <row r="331" spans="3:14" outlineLevel="1" x14ac:dyDescent="0.3">
      <c r="C331" s="383">
        <v>9</v>
      </c>
      <c r="D331" s="712"/>
      <c r="E331" s="712"/>
      <c r="F331" s="712"/>
      <c r="G331" s="706"/>
      <c r="H331" s="706"/>
      <c r="I331" s="706"/>
      <c r="J331" s="278"/>
      <c r="K331" s="278"/>
      <c r="L331" s="279" t="str">
        <f t="shared" si="5"/>
        <v>-</v>
      </c>
      <c r="M331" s="16" t="str">
        <f t="shared" si="6"/>
        <v/>
      </c>
    </row>
    <row r="332" spans="3:14" outlineLevel="1" x14ac:dyDescent="0.3">
      <c r="C332" s="383">
        <v>10</v>
      </c>
      <c r="D332" s="712"/>
      <c r="E332" s="712"/>
      <c r="F332" s="712"/>
      <c r="G332" s="706"/>
      <c r="H332" s="706"/>
      <c r="I332" s="706"/>
      <c r="J332" s="278"/>
      <c r="K332" s="278"/>
      <c r="L332" s="279" t="str">
        <f t="shared" si="5"/>
        <v>-</v>
      </c>
      <c r="M332" s="16" t="str">
        <f t="shared" si="6"/>
        <v/>
      </c>
    </row>
    <row r="333" spans="3:14" outlineLevel="1" x14ac:dyDescent="0.3">
      <c r="C333" s="383">
        <v>11</v>
      </c>
      <c r="D333" s="712"/>
      <c r="E333" s="712"/>
      <c r="F333" s="712"/>
      <c r="G333" s="706"/>
      <c r="H333" s="706"/>
      <c r="I333" s="706"/>
      <c r="J333" s="278"/>
      <c r="K333" s="278"/>
      <c r="L333" s="279" t="str">
        <f t="shared" si="5"/>
        <v>-</v>
      </c>
      <c r="M333" s="16" t="str">
        <f t="shared" si="6"/>
        <v/>
      </c>
    </row>
    <row r="334" spans="3:14" outlineLevel="1" x14ac:dyDescent="0.3">
      <c r="C334" s="383">
        <v>12</v>
      </c>
      <c r="D334" s="712"/>
      <c r="E334" s="712"/>
      <c r="F334" s="712"/>
      <c r="G334" s="706"/>
      <c r="H334" s="706"/>
      <c r="I334" s="706"/>
      <c r="J334" s="278"/>
      <c r="K334" s="278"/>
      <c r="L334" s="279" t="str">
        <f t="shared" si="5"/>
        <v>-</v>
      </c>
      <c r="M334" s="16" t="str">
        <f t="shared" si="6"/>
        <v/>
      </c>
    </row>
    <row r="335" spans="3:14" outlineLevel="1" x14ac:dyDescent="0.3">
      <c r="C335" s="383">
        <v>13</v>
      </c>
      <c r="D335" s="712"/>
      <c r="E335" s="712"/>
      <c r="F335" s="712"/>
      <c r="G335" s="706"/>
      <c r="H335" s="706"/>
      <c r="I335" s="706"/>
      <c r="J335" s="278"/>
      <c r="K335" s="278"/>
      <c r="L335" s="279" t="str">
        <f t="shared" si="5"/>
        <v>-</v>
      </c>
      <c r="M335" s="16" t="str">
        <f t="shared" si="6"/>
        <v/>
      </c>
    </row>
    <row r="336" spans="3:14" outlineLevel="1" x14ac:dyDescent="0.3">
      <c r="C336" s="383">
        <v>14</v>
      </c>
      <c r="D336" s="712"/>
      <c r="E336" s="712"/>
      <c r="F336" s="712"/>
      <c r="G336" s="706"/>
      <c r="H336" s="706"/>
      <c r="I336" s="706"/>
      <c r="J336" s="278"/>
      <c r="K336" s="278"/>
      <c r="L336" s="279" t="str">
        <f t="shared" si="5"/>
        <v>-</v>
      </c>
      <c r="M336" s="16" t="str">
        <f t="shared" si="6"/>
        <v/>
      </c>
    </row>
    <row r="337" spans="3:13" outlineLevel="1" x14ac:dyDescent="0.3">
      <c r="C337" s="383">
        <v>15</v>
      </c>
      <c r="D337" s="712"/>
      <c r="E337" s="712"/>
      <c r="F337" s="712"/>
      <c r="G337" s="706"/>
      <c r="H337" s="706"/>
      <c r="I337" s="706"/>
      <c r="J337" s="469"/>
      <c r="K337" s="469"/>
      <c r="L337" s="279" t="str">
        <f t="shared" si="5"/>
        <v>-</v>
      </c>
      <c r="M337" s="16" t="str">
        <f t="shared" si="6"/>
        <v/>
      </c>
    </row>
    <row r="338" spans="3:13" outlineLevel="1" x14ac:dyDescent="0.3">
      <c r="C338" s="383">
        <v>16</v>
      </c>
      <c r="D338" s="712"/>
      <c r="E338" s="712"/>
      <c r="F338" s="712"/>
      <c r="G338" s="706"/>
      <c r="H338" s="706"/>
      <c r="I338" s="706"/>
      <c r="J338" s="469"/>
      <c r="K338" s="469"/>
      <c r="L338" s="279" t="str">
        <f t="shared" si="5"/>
        <v>-</v>
      </c>
      <c r="M338" s="16" t="str">
        <f t="shared" si="6"/>
        <v/>
      </c>
    </row>
    <row r="339" spans="3:13" outlineLevel="1" x14ac:dyDescent="0.3">
      <c r="C339" s="383">
        <v>17</v>
      </c>
      <c r="D339" s="712"/>
      <c r="E339" s="712"/>
      <c r="F339" s="712"/>
      <c r="G339" s="706"/>
      <c r="H339" s="706"/>
      <c r="I339" s="706"/>
      <c r="J339" s="469"/>
      <c r="K339" s="469"/>
      <c r="L339" s="279" t="str">
        <f t="shared" si="5"/>
        <v>-</v>
      </c>
      <c r="M339" s="16" t="str">
        <f t="shared" si="6"/>
        <v/>
      </c>
    </row>
    <row r="340" spans="3:13" outlineLevel="1" x14ac:dyDescent="0.3">
      <c r="C340" s="383">
        <v>18</v>
      </c>
      <c r="D340" s="712"/>
      <c r="E340" s="712"/>
      <c r="F340" s="712"/>
      <c r="G340" s="706"/>
      <c r="H340" s="706"/>
      <c r="I340" s="706"/>
      <c r="J340" s="469"/>
      <c r="K340" s="469"/>
      <c r="L340" s="279" t="str">
        <f t="shared" si="5"/>
        <v>-</v>
      </c>
      <c r="M340" s="16" t="str">
        <f t="shared" si="6"/>
        <v/>
      </c>
    </row>
    <row r="341" spans="3:13" outlineLevel="1" x14ac:dyDescent="0.3">
      <c r="C341" s="383">
        <v>19</v>
      </c>
      <c r="D341" s="712"/>
      <c r="E341" s="712"/>
      <c r="F341" s="712"/>
      <c r="G341" s="706"/>
      <c r="H341" s="706"/>
      <c r="I341" s="706"/>
      <c r="J341" s="469"/>
      <c r="K341" s="469"/>
      <c r="L341" s="279" t="str">
        <f t="shared" si="5"/>
        <v>-</v>
      </c>
      <c r="M341" s="16" t="str">
        <f t="shared" si="6"/>
        <v/>
      </c>
    </row>
    <row r="342" spans="3:13" outlineLevel="1" x14ac:dyDescent="0.3">
      <c r="C342" s="383">
        <v>20</v>
      </c>
      <c r="D342" s="712"/>
      <c r="E342" s="712"/>
      <c r="F342" s="712"/>
      <c r="G342" s="706"/>
      <c r="H342" s="706"/>
      <c r="I342" s="706"/>
      <c r="J342" s="469"/>
      <c r="K342" s="469"/>
      <c r="L342" s="279" t="str">
        <f t="shared" si="5"/>
        <v>-</v>
      </c>
      <c r="M342" s="16" t="str">
        <f t="shared" si="6"/>
        <v/>
      </c>
    </row>
    <row r="343" spans="3:13" outlineLevel="1" x14ac:dyDescent="0.3">
      <c r="C343" s="383">
        <v>21</v>
      </c>
      <c r="D343" s="712"/>
      <c r="E343" s="712"/>
      <c r="F343" s="712"/>
      <c r="G343" s="706"/>
      <c r="H343" s="706"/>
      <c r="I343" s="706"/>
      <c r="J343" s="469"/>
      <c r="K343" s="469"/>
      <c r="L343" s="279" t="str">
        <f t="shared" si="5"/>
        <v>-</v>
      </c>
      <c r="M343" s="16" t="str">
        <f t="shared" si="6"/>
        <v/>
      </c>
    </row>
    <row r="344" spans="3:13" outlineLevel="1" x14ac:dyDescent="0.3">
      <c r="C344" s="383">
        <v>22</v>
      </c>
      <c r="D344" s="712"/>
      <c r="E344" s="712"/>
      <c r="F344" s="712"/>
      <c r="G344" s="706"/>
      <c r="H344" s="706"/>
      <c r="I344" s="706"/>
      <c r="J344" s="469"/>
      <c r="K344" s="469"/>
      <c r="L344" s="279" t="str">
        <f t="shared" si="5"/>
        <v>-</v>
      </c>
      <c r="M344" s="16" t="str">
        <f t="shared" si="6"/>
        <v/>
      </c>
    </row>
    <row r="345" spans="3:13" outlineLevel="1" x14ac:dyDescent="0.3">
      <c r="C345" s="383">
        <v>23</v>
      </c>
      <c r="D345" s="712"/>
      <c r="E345" s="712"/>
      <c r="F345" s="712"/>
      <c r="G345" s="706"/>
      <c r="H345" s="706"/>
      <c r="I345" s="706"/>
      <c r="J345" s="469"/>
      <c r="K345" s="469"/>
      <c r="L345" s="279" t="str">
        <f t="shared" si="5"/>
        <v>-</v>
      </c>
      <c r="M345" s="16" t="str">
        <f t="shared" si="6"/>
        <v/>
      </c>
    </row>
    <row r="346" spans="3:13" outlineLevel="1" x14ac:dyDescent="0.3">
      <c r="C346" s="383">
        <v>24</v>
      </c>
      <c r="D346" s="712"/>
      <c r="E346" s="712"/>
      <c r="F346" s="712"/>
      <c r="G346" s="706"/>
      <c r="H346" s="706"/>
      <c r="I346" s="706"/>
      <c r="J346" s="469"/>
      <c r="K346" s="469"/>
      <c r="L346" s="279" t="str">
        <f t="shared" si="5"/>
        <v>-</v>
      </c>
      <c r="M346" s="16" t="str">
        <f t="shared" si="6"/>
        <v/>
      </c>
    </row>
    <row r="347" spans="3:13" outlineLevel="1" x14ac:dyDescent="0.3">
      <c r="C347" s="383">
        <v>25</v>
      </c>
      <c r="D347" s="712"/>
      <c r="E347" s="712"/>
      <c r="F347" s="712"/>
      <c r="G347" s="706"/>
      <c r="H347" s="706"/>
      <c r="I347" s="706"/>
      <c r="J347" s="469"/>
      <c r="K347" s="469"/>
      <c r="L347" s="279" t="str">
        <f t="shared" si="5"/>
        <v>-</v>
      </c>
      <c r="M347" s="16" t="str">
        <f t="shared" si="6"/>
        <v/>
      </c>
    </row>
    <row r="348" spans="3:13" outlineLevel="1" x14ac:dyDescent="0.3">
      <c r="C348" s="383">
        <v>26</v>
      </c>
      <c r="D348" s="712"/>
      <c r="E348" s="712"/>
      <c r="F348" s="712"/>
      <c r="G348" s="706"/>
      <c r="H348" s="706"/>
      <c r="I348" s="706"/>
      <c r="J348" s="469"/>
      <c r="K348" s="469"/>
      <c r="L348" s="279" t="str">
        <f t="shared" si="5"/>
        <v>-</v>
      </c>
      <c r="M348" s="16" t="str">
        <f t="shared" si="6"/>
        <v/>
      </c>
    </row>
    <row r="349" spans="3:13" outlineLevel="1" x14ac:dyDescent="0.3">
      <c r="C349" s="383">
        <v>27</v>
      </c>
      <c r="D349" s="712"/>
      <c r="E349" s="712"/>
      <c r="F349" s="712"/>
      <c r="G349" s="706"/>
      <c r="H349" s="706"/>
      <c r="I349" s="706"/>
      <c r="J349" s="469"/>
      <c r="K349" s="469"/>
      <c r="L349" s="279" t="str">
        <f t="shared" si="5"/>
        <v>-</v>
      </c>
      <c r="M349" s="16" t="str">
        <f t="shared" si="6"/>
        <v/>
      </c>
    </row>
    <row r="350" spans="3:13" outlineLevel="1" x14ac:dyDescent="0.3">
      <c r="C350" s="383">
        <v>28</v>
      </c>
      <c r="D350" s="712"/>
      <c r="E350" s="712"/>
      <c r="F350" s="712"/>
      <c r="G350" s="706"/>
      <c r="H350" s="706"/>
      <c r="I350" s="706"/>
      <c r="J350" s="469"/>
      <c r="K350" s="469"/>
      <c r="L350" s="279" t="str">
        <f t="shared" si="5"/>
        <v>-</v>
      </c>
      <c r="M350" s="16" t="str">
        <f t="shared" si="6"/>
        <v/>
      </c>
    </row>
    <row r="351" spans="3:13" outlineLevel="1" x14ac:dyDescent="0.3">
      <c r="C351" s="383">
        <v>29</v>
      </c>
      <c r="D351" s="712"/>
      <c r="E351" s="712"/>
      <c r="F351" s="712"/>
      <c r="G351" s="706"/>
      <c r="H351" s="706"/>
      <c r="I351" s="706"/>
      <c r="J351" s="469"/>
      <c r="K351" s="469"/>
      <c r="L351" s="279" t="str">
        <f t="shared" si="5"/>
        <v>-</v>
      </c>
      <c r="M351" s="16" t="str">
        <f t="shared" si="6"/>
        <v/>
      </c>
    </row>
    <row r="352" spans="3:13" outlineLevel="1" x14ac:dyDescent="0.3">
      <c r="C352" s="383">
        <v>30</v>
      </c>
      <c r="D352" s="712"/>
      <c r="E352" s="712"/>
      <c r="F352" s="712"/>
      <c r="G352" s="706"/>
      <c r="H352" s="706"/>
      <c r="I352" s="706"/>
      <c r="J352" s="469"/>
      <c r="K352" s="469"/>
      <c r="L352" s="279" t="str">
        <f t="shared" si="5"/>
        <v>-</v>
      </c>
      <c r="M352" s="16" t="str">
        <f t="shared" si="6"/>
        <v/>
      </c>
    </row>
    <row r="353" spans="3:13" outlineLevel="1" x14ac:dyDescent="0.3">
      <c r="C353" s="383">
        <v>31</v>
      </c>
      <c r="D353" s="712"/>
      <c r="E353" s="712"/>
      <c r="F353" s="712"/>
      <c r="G353" s="706"/>
      <c r="H353" s="706"/>
      <c r="I353" s="706"/>
      <c r="J353" s="469"/>
      <c r="K353" s="469"/>
      <c r="L353" s="279" t="str">
        <f t="shared" si="5"/>
        <v>-</v>
      </c>
      <c r="M353" s="16" t="str">
        <f t="shared" si="6"/>
        <v/>
      </c>
    </row>
    <row r="354" spans="3:13" outlineLevel="1" x14ac:dyDescent="0.3">
      <c r="C354" s="383">
        <v>32</v>
      </c>
      <c r="D354" s="712"/>
      <c r="E354" s="712"/>
      <c r="F354" s="712"/>
      <c r="G354" s="706"/>
      <c r="H354" s="706"/>
      <c r="I354" s="706"/>
      <c r="J354" s="469"/>
      <c r="K354" s="469"/>
      <c r="L354" s="279" t="str">
        <f t="shared" si="5"/>
        <v>-</v>
      </c>
      <c r="M354" s="16" t="str">
        <f t="shared" si="6"/>
        <v/>
      </c>
    </row>
    <row r="355" spans="3:13" outlineLevel="1" x14ac:dyDescent="0.3">
      <c r="C355" s="383">
        <v>33</v>
      </c>
      <c r="D355" s="712"/>
      <c r="E355" s="712"/>
      <c r="F355" s="712"/>
      <c r="G355" s="706"/>
      <c r="H355" s="706"/>
      <c r="I355" s="706"/>
      <c r="J355" s="469"/>
      <c r="K355" s="469"/>
      <c r="L355" s="279" t="str">
        <f t="shared" si="5"/>
        <v>-</v>
      </c>
      <c r="M355" s="16" t="str">
        <f t="shared" si="6"/>
        <v/>
      </c>
    </row>
    <row r="356" spans="3:13" outlineLevel="1" x14ac:dyDescent="0.3">
      <c r="C356" s="383">
        <v>34</v>
      </c>
      <c r="D356" s="712"/>
      <c r="E356" s="712"/>
      <c r="F356" s="712"/>
      <c r="G356" s="706"/>
      <c r="H356" s="706"/>
      <c r="I356" s="706"/>
      <c r="J356" s="469"/>
      <c r="K356" s="469"/>
      <c r="L356" s="279" t="str">
        <f t="shared" si="5"/>
        <v>-</v>
      </c>
      <c r="M356" s="16" t="str">
        <f t="shared" ref="M356:M387" si="7">IF(
    IFERROR(LEN(LEFT(D356,FIND("-",D356)-1)),0)=0,
    "",
    IF(
        IFERROR(LEN(LEFT(D356,FIND("-",D356)-1)),0)=13,
        IF(
            COUNTIF(enum_ListWasteCategories,D356)&gt;0,
            template_label_error,
            IF(
                AND(D356&lt;&gt;"",G356&lt;&gt;"",J356&lt;&gt;"",K356&lt;&gt;""),
                IF(COUNTIF($D$323:$D$422,D356)&gt;1,
                    template_label_value_inconsistency,
                    template_label_ok
                ),
                IF(AND(D356&lt;&gt;"",G356&lt;&gt;"",J356&lt;&gt;"",K356=""),template_label_missing_value,
                IF(AND(D356&lt;&gt;"",G356&lt;&gt;"",J356="",K356&lt;&gt;""),template_label_missing_value,
                IF(AND(D356&lt;&gt;"",G356="",J356&lt;&gt;"",K356&lt;&gt;""),template_label_missing_value,
                IF(AND(D356="",G356&lt;&gt;"",J356&lt;&gt;"",K356&lt;&gt;""),template_label_missing_value,
                IF(AND(D356&lt;&gt;"",G356&lt;&gt;"",J356="",K356=""),template_label_missing_value,
                IF(AND(D356&lt;&gt;"",G356="",J356&lt;&gt;"",K356=""),template_label_missing_value,
                IF(AND(D356&lt;&gt;"",G356="",J356="",K356&lt;&gt;""),template_label_missing_value,
                IF(AND(D356="",G356="",J356&lt;&gt;"",K356&lt;&gt;""),template_label_missing_value,
                IF(AND(D356="",G356&lt;&gt;"",J356="",K356&lt;&gt;""),template_label_missing_value,
                IF(AND(D356="",G356&lt;&gt;"",J356&lt;&gt;"",K356=""),template_label_missing_value,
                IF(AND(D356="",G356="",J356="",K356&lt;&gt;""),template_label_missing_value,
                IF(AND(D356="",G356="",J356&lt;&gt;"",K356=""),template_label_missing_value,
                IF(AND(D356="",G356&lt;&gt;"",J356="",K356=""),template_label_missing_value,
                IF(AND(D356&lt;&gt;"",G356="",J356="",K356=""),template_label_missing_value,
                "")))))))))))))))),
        template_label_error
    )
)</f>
        <v/>
      </c>
    </row>
    <row r="357" spans="3:13" outlineLevel="1" x14ac:dyDescent="0.3">
      <c r="C357" s="383">
        <v>35</v>
      </c>
      <c r="D357" s="712"/>
      <c r="E357" s="712"/>
      <c r="F357" s="712"/>
      <c r="G357" s="706"/>
      <c r="H357" s="706"/>
      <c r="I357" s="706"/>
      <c r="J357" s="469"/>
      <c r="K357" s="469"/>
      <c r="L357" s="279" t="str">
        <f t="shared" si="5"/>
        <v>-</v>
      </c>
      <c r="M357" s="16" t="str">
        <f t="shared" si="7"/>
        <v/>
      </c>
    </row>
    <row r="358" spans="3:13" outlineLevel="1" x14ac:dyDescent="0.3">
      <c r="C358" s="383">
        <v>36</v>
      </c>
      <c r="D358" s="712"/>
      <c r="E358" s="712"/>
      <c r="F358" s="712"/>
      <c r="G358" s="706"/>
      <c r="H358" s="706"/>
      <c r="I358" s="706"/>
      <c r="J358" s="469"/>
      <c r="K358" s="469"/>
      <c r="L358" s="279" t="str">
        <f t="shared" si="5"/>
        <v>-</v>
      </c>
      <c r="M358" s="16" t="str">
        <f t="shared" si="7"/>
        <v/>
      </c>
    </row>
    <row r="359" spans="3:13" outlineLevel="1" x14ac:dyDescent="0.3">
      <c r="C359" s="383">
        <v>37</v>
      </c>
      <c r="D359" s="712"/>
      <c r="E359" s="712"/>
      <c r="F359" s="712"/>
      <c r="G359" s="706"/>
      <c r="H359" s="706"/>
      <c r="I359" s="706"/>
      <c r="J359" s="469"/>
      <c r="K359" s="469"/>
      <c r="L359" s="279" t="str">
        <f t="shared" si="5"/>
        <v>-</v>
      </c>
      <c r="M359" s="16" t="str">
        <f t="shared" si="7"/>
        <v/>
      </c>
    </row>
    <row r="360" spans="3:13" outlineLevel="1" x14ac:dyDescent="0.3">
      <c r="C360" s="383">
        <v>38</v>
      </c>
      <c r="D360" s="712"/>
      <c r="E360" s="712"/>
      <c r="F360" s="712"/>
      <c r="G360" s="706"/>
      <c r="H360" s="706"/>
      <c r="I360" s="706"/>
      <c r="J360" s="469"/>
      <c r="K360" s="469"/>
      <c r="L360" s="279" t="str">
        <f t="shared" si="5"/>
        <v>-</v>
      </c>
      <c r="M360" s="16" t="str">
        <f t="shared" si="7"/>
        <v/>
      </c>
    </row>
    <row r="361" spans="3:13" outlineLevel="1" x14ac:dyDescent="0.3">
      <c r="C361" s="383">
        <v>39</v>
      </c>
      <c r="D361" s="712"/>
      <c r="E361" s="712"/>
      <c r="F361" s="712"/>
      <c r="G361" s="706"/>
      <c r="H361" s="706"/>
      <c r="I361" s="706"/>
      <c r="J361" s="469"/>
      <c r="K361" s="469"/>
      <c r="L361" s="279" t="str">
        <f t="shared" si="5"/>
        <v>-</v>
      </c>
      <c r="M361" s="16" t="str">
        <f t="shared" si="7"/>
        <v/>
      </c>
    </row>
    <row r="362" spans="3:13" outlineLevel="1" x14ac:dyDescent="0.3">
      <c r="C362" s="383">
        <v>40</v>
      </c>
      <c r="D362" s="712"/>
      <c r="E362" s="712"/>
      <c r="F362" s="712"/>
      <c r="G362" s="706"/>
      <c r="H362" s="706"/>
      <c r="I362" s="706"/>
      <c r="J362" s="469"/>
      <c r="K362" s="469"/>
      <c r="L362" s="279" t="str">
        <f t="shared" si="5"/>
        <v>-</v>
      </c>
      <c r="M362" s="16" t="str">
        <f t="shared" si="7"/>
        <v/>
      </c>
    </row>
    <row r="363" spans="3:13" outlineLevel="1" x14ac:dyDescent="0.3">
      <c r="C363" s="383">
        <v>41</v>
      </c>
      <c r="D363" s="712"/>
      <c r="E363" s="712"/>
      <c r="F363" s="712"/>
      <c r="G363" s="706"/>
      <c r="H363" s="706"/>
      <c r="I363" s="706"/>
      <c r="J363" s="469"/>
      <c r="K363" s="469"/>
      <c r="L363" s="279" t="str">
        <f t="shared" si="5"/>
        <v>-</v>
      </c>
      <c r="M363" s="16" t="str">
        <f t="shared" si="7"/>
        <v/>
      </c>
    </row>
    <row r="364" spans="3:13" outlineLevel="1" x14ac:dyDescent="0.3">
      <c r="C364" s="383">
        <v>42</v>
      </c>
      <c r="D364" s="712"/>
      <c r="E364" s="712"/>
      <c r="F364" s="712"/>
      <c r="G364" s="706"/>
      <c r="H364" s="706"/>
      <c r="I364" s="706"/>
      <c r="J364" s="469"/>
      <c r="K364" s="469"/>
      <c r="L364" s="279" t="str">
        <f t="shared" si="5"/>
        <v>-</v>
      </c>
      <c r="M364" s="16" t="str">
        <f t="shared" si="7"/>
        <v/>
      </c>
    </row>
    <row r="365" spans="3:13" outlineLevel="1" x14ac:dyDescent="0.3">
      <c r="C365" s="383">
        <v>43</v>
      </c>
      <c r="D365" s="712"/>
      <c r="E365" s="712"/>
      <c r="F365" s="712"/>
      <c r="G365" s="706"/>
      <c r="H365" s="706"/>
      <c r="I365" s="706"/>
      <c r="J365" s="469"/>
      <c r="K365" s="469"/>
      <c r="L365" s="279" t="str">
        <f t="shared" si="5"/>
        <v>-</v>
      </c>
      <c r="M365" s="16" t="str">
        <f t="shared" si="7"/>
        <v/>
      </c>
    </row>
    <row r="366" spans="3:13" outlineLevel="1" x14ac:dyDescent="0.3">
      <c r="C366" s="383">
        <v>44</v>
      </c>
      <c r="D366" s="712"/>
      <c r="E366" s="712"/>
      <c r="F366" s="712"/>
      <c r="G366" s="706"/>
      <c r="H366" s="706"/>
      <c r="I366" s="706"/>
      <c r="J366" s="469"/>
      <c r="K366" s="469"/>
      <c r="L366" s="279" t="str">
        <f t="shared" si="5"/>
        <v>-</v>
      </c>
      <c r="M366" s="16" t="str">
        <f t="shared" si="7"/>
        <v/>
      </c>
    </row>
    <row r="367" spans="3:13" outlineLevel="1" x14ac:dyDescent="0.3">
      <c r="C367" s="383">
        <v>45</v>
      </c>
      <c r="D367" s="712"/>
      <c r="E367" s="712"/>
      <c r="F367" s="712"/>
      <c r="G367" s="706"/>
      <c r="H367" s="706"/>
      <c r="I367" s="706"/>
      <c r="J367" s="469"/>
      <c r="K367" s="469"/>
      <c r="L367" s="279" t="str">
        <f t="shared" si="5"/>
        <v>-</v>
      </c>
      <c r="M367" s="16" t="str">
        <f t="shared" si="7"/>
        <v/>
      </c>
    </row>
    <row r="368" spans="3:13" outlineLevel="1" x14ac:dyDescent="0.3">
      <c r="C368" s="383">
        <v>46</v>
      </c>
      <c r="D368" s="712"/>
      <c r="E368" s="712"/>
      <c r="F368" s="712"/>
      <c r="G368" s="706"/>
      <c r="H368" s="706"/>
      <c r="I368" s="706"/>
      <c r="J368" s="469"/>
      <c r="K368" s="469"/>
      <c r="L368" s="279" t="str">
        <f t="shared" si="5"/>
        <v>-</v>
      </c>
      <c r="M368" s="16" t="str">
        <f t="shared" si="7"/>
        <v/>
      </c>
    </row>
    <row r="369" spans="3:13" outlineLevel="1" x14ac:dyDescent="0.3">
      <c r="C369" s="383">
        <v>47</v>
      </c>
      <c r="D369" s="712"/>
      <c r="E369" s="712"/>
      <c r="F369" s="712"/>
      <c r="G369" s="706"/>
      <c r="H369" s="706"/>
      <c r="I369" s="706"/>
      <c r="J369" s="469"/>
      <c r="K369" s="469"/>
      <c r="L369" s="279" t="str">
        <f t="shared" si="5"/>
        <v>-</v>
      </c>
      <c r="M369" s="16" t="str">
        <f t="shared" si="7"/>
        <v/>
      </c>
    </row>
    <row r="370" spans="3:13" outlineLevel="1" x14ac:dyDescent="0.3">
      <c r="C370" s="383">
        <v>48</v>
      </c>
      <c r="D370" s="712"/>
      <c r="E370" s="712"/>
      <c r="F370" s="712"/>
      <c r="G370" s="706"/>
      <c r="H370" s="706"/>
      <c r="I370" s="706"/>
      <c r="J370" s="469"/>
      <c r="K370" s="469"/>
      <c r="L370" s="279" t="str">
        <f t="shared" si="5"/>
        <v>-</v>
      </c>
      <c r="M370" s="16" t="str">
        <f t="shared" si="7"/>
        <v/>
      </c>
    </row>
    <row r="371" spans="3:13" outlineLevel="1" x14ac:dyDescent="0.3">
      <c r="C371" s="383">
        <v>49</v>
      </c>
      <c r="D371" s="712"/>
      <c r="E371" s="712"/>
      <c r="F371" s="712"/>
      <c r="G371" s="706"/>
      <c r="H371" s="706"/>
      <c r="I371" s="706"/>
      <c r="J371" s="469"/>
      <c r="K371" s="469"/>
      <c r="L371" s="279" t="str">
        <f t="shared" si="5"/>
        <v>-</v>
      </c>
      <c r="M371" s="16" t="str">
        <f t="shared" si="7"/>
        <v/>
      </c>
    </row>
    <row r="372" spans="3:13" outlineLevel="1" x14ac:dyDescent="0.3">
      <c r="C372" s="383">
        <v>50</v>
      </c>
      <c r="D372" s="712"/>
      <c r="E372" s="712"/>
      <c r="F372" s="712"/>
      <c r="G372" s="706"/>
      <c r="H372" s="706"/>
      <c r="I372" s="706"/>
      <c r="J372" s="469"/>
      <c r="K372" s="469"/>
      <c r="L372" s="279" t="str">
        <f t="shared" si="5"/>
        <v>-</v>
      </c>
      <c r="M372" s="16" t="str">
        <f t="shared" si="7"/>
        <v/>
      </c>
    </row>
    <row r="373" spans="3:13" outlineLevel="1" x14ac:dyDescent="0.3">
      <c r="C373" s="383">
        <v>51</v>
      </c>
      <c r="D373" s="712"/>
      <c r="E373" s="712"/>
      <c r="F373" s="712"/>
      <c r="G373" s="706"/>
      <c r="H373" s="706"/>
      <c r="I373" s="706"/>
      <c r="J373" s="469"/>
      <c r="K373" s="469"/>
      <c r="L373" s="279" t="str">
        <f t="shared" si="5"/>
        <v>-</v>
      </c>
      <c r="M373" s="16" t="str">
        <f t="shared" si="7"/>
        <v/>
      </c>
    </row>
    <row r="374" spans="3:13" outlineLevel="1" x14ac:dyDescent="0.3">
      <c r="C374" s="383">
        <v>52</v>
      </c>
      <c r="D374" s="712"/>
      <c r="E374" s="712"/>
      <c r="F374" s="712"/>
      <c r="G374" s="706"/>
      <c r="H374" s="706"/>
      <c r="I374" s="706"/>
      <c r="J374" s="469"/>
      <c r="K374" s="469"/>
      <c r="L374" s="279" t="str">
        <f t="shared" si="5"/>
        <v>-</v>
      </c>
      <c r="M374" s="16" t="str">
        <f t="shared" si="7"/>
        <v/>
      </c>
    </row>
    <row r="375" spans="3:13" outlineLevel="1" x14ac:dyDescent="0.3">
      <c r="C375" s="383">
        <v>53</v>
      </c>
      <c r="D375" s="712"/>
      <c r="E375" s="712"/>
      <c r="F375" s="712"/>
      <c r="G375" s="706"/>
      <c r="H375" s="706"/>
      <c r="I375" s="706"/>
      <c r="J375" s="469"/>
      <c r="K375" s="469"/>
      <c r="L375" s="279" t="str">
        <f t="shared" si="5"/>
        <v>-</v>
      </c>
      <c r="M375" s="16" t="str">
        <f t="shared" si="7"/>
        <v/>
      </c>
    </row>
    <row r="376" spans="3:13" outlineLevel="1" x14ac:dyDescent="0.3">
      <c r="C376" s="383">
        <v>54</v>
      </c>
      <c r="D376" s="712"/>
      <c r="E376" s="712"/>
      <c r="F376" s="712"/>
      <c r="G376" s="706"/>
      <c r="H376" s="706"/>
      <c r="I376" s="706"/>
      <c r="J376" s="469"/>
      <c r="K376" s="469"/>
      <c r="L376" s="279" t="str">
        <f t="shared" si="5"/>
        <v>-</v>
      </c>
      <c r="M376" s="16" t="str">
        <f t="shared" si="7"/>
        <v/>
      </c>
    </row>
    <row r="377" spans="3:13" outlineLevel="1" x14ac:dyDescent="0.3">
      <c r="C377" s="383">
        <v>55</v>
      </c>
      <c r="D377" s="712"/>
      <c r="E377" s="712"/>
      <c r="F377" s="712"/>
      <c r="G377" s="706"/>
      <c r="H377" s="706"/>
      <c r="I377" s="706"/>
      <c r="J377" s="469"/>
      <c r="K377" s="469"/>
      <c r="L377" s="279" t="str">
        <f t="shared" si="5"/>
        <v>-</v>
      </c>
      <c r="M377" s="16" t="str">
        <f t="shared" si="7"/>
        <v/>
      </c>
    </row>
    <row r="378" spans="3:13" outlineLevel="1" x14ac:dyDescent="0.3">
      <c r="C378" s="383">
        <v>56</v>
      </c>
      <c r="D378" s="712"/>
      <c r="E378" s="712"/>
      <c r="F378" s="712"/>
      <c r="G378" s="706"/>
      <c r="H378" s="706"/>
      <c r="I378" s="706"/>
      <c r="J378" s="469"/>
      <c r="K378" s="469"/>
      <c r="L378" s="279" t="str">
        <f t="shared" si="5"/>
        <v>-</v>
      </c>
      <c r="M378" s="16" t="str">
        <f t="shared" si="7"/>
        <v/>
      </c>
    </row>
    <row r="379" spans="3:13" outlineLevel="1" x14ac:dyDescent="0.3">
      <c r="C379" s="383">
        <v>57</v>
      </c>
      <c r="D379" s="712"/>
      <c r="E379" s="712"/>
      <c r="F379" s="712"/>
      <c r="G379" s="706"/>
      <c r="H379" s="706"/>
      <c r="I379" s="706"/>
      <c r="J379" s="469"/>
      <c r="K379" s="469"/>
      <c r="L379" s="279" t="str">
        <f t="shared" si="5"/>
        <v>-</v>
      </c>
      <c r="M379" s="16" t="str">
        <f t="shared" si="7"/>
        <v/>
      </c>
    </row>
    <row r="380" spans="3:13" outlineLevel="1" x14ac:dyDescent="0.3">
      <c r="C380" s="383">
        <v>58</v>
      </c>
      <c r="D380" s="712"/>
      <c r="E380" s="712"/>
      <c r="F380" s="712"/>
      <c r="G380" s="706"/>
      <c r="H380" s="706"/>
      <c r="I380" s="706"/>
      <c r="J380" s="469"/>
      <c r="K380" s="469"/>
      <c r="L380" s="279" t="str">
        <f t="shared" si="5"/>
        <v>-</v>
      </c>
      <c r="M380" s="16" t="str">
        <f t="shared" si="7"/>
        <v/>
      </c>
    </row>
    <row r="381" spans="3:13" outlineLevel="1" x14ac:dyDescent="0.3">
      <c r="C381" s="383">
        <v>59</v>
      </c>
      <c r="D381" s="712"/>
      <c r="E381" s="712"/>
      <c r="F381" s="712"/>
      <c r="G381" s="706"/>
      <c r="H381" s="706"/>
      <c r="I381" s="706"/>
      <c r="J381" s="469"/>
      <c r="K381" s="469"/>
      <c r="L381" s="279" t="str">
        <f t="shared" si="5"/>
        <v>-</v>
      </c>
      <c r="M381" s="16" t="str">
        <f t="shared" si="7"/>
        <v/>
      </c>
    </row>
    <row r="382" spans="3:13" outlineLevel="1" x14ac:dyDescent="0.3">
      <c r="C382" s="383">
        <v>60</v>
      </c>
      <c r="D382" s="712"/>
      <c r="E382" s="712"/>
      <c r="F382" s="712"/>
      <c r="G382" s="706"/>
      <c r="H382" s="706"/>
      <c r="I382" s="706"/>
      <c r="J382" s="469"/>
      <c r="K382" s="469"/>
      <c r="L382" s="279" t="str">
        <f t="shared" si="5"/>
        <v>-</v>
      </c>
      <c r="M382" s="16" t="str">
        <f t="shared" si="7"/>
        <v/>
      </c>
    </row>
    <row r="383" spans="3:13" outlineLevel="1" x14ac:dyDescent="0.3">
      <c r="C383" s="383">
        <v>61</v>
      </c>
      <c r="D383" s="712"/>
      <c r="E383" s="712"/>
      <c r="F383" s="712"/>
      <c r="G383" s="706"/>
      <c r="H383" s="706"/>
      <c r="I383" s="706"/>
      <c r="J383" s="469"/>
      <c r="K383" s="469"/>
      <c r="L383" s="279" t="str">
        <f t="shared" si="5"/>
        <v>-</v>
      </c>
      <c r="M383" s="16" t="str">
        <f t="shared" si="7"/>
        <v/>
      </c>
    </row>
    <row r="384" spans="3:13" outlineLevel="1" x14ac:dyDescent="0.3">
      <c r="C384" s="383">
        <v>62</v>
      </c>
      <c r="D384" s="712"/>
      <c r="E384" s="712"/>
      <c r="F384" s="712"/>
      <c r="G384" s="706"/>
      <c r="H384" s="706"/>
      <c r="I384" s="706"/>
      <c r="J384" s="469"/>
      <c r="K384" s="469"/>
      <c r="L384" s="279" t="str">
        <f t="shared" si="5"/>
        <v>-</v>
      </c>
      <c r="M384" s="16" t="str">
        <f t="shared" si="7"/>
        <v/>
      </c>
    </row>
    <row r="385" spans="3:13" outlineLevel="1" x14ac:dyDescent="0.3">
      <c r="C385" s="383">
        <v>63</v>
      </c>
      <c r="D385" s="712"/>
      <c r="E385" s="712"/>
      <c r="F385" s="712"/>
      <c r="G385" s="706"/>
      <c r="H385" s="706"/>
      <c r="I385" s="706"/>
      <c r="J385" s="469"/>
      <c r="K385" s="469"/>
      <c r="L385" s="279" t="str">
        <f t="shared" si="5"/>
        <v>-</v>
      </c>
      <c r="M385" s="16" t="str">
        <f t="shared" si="7"/>
        <v/>
      </c>
    </row>
    <row r="386" spans="3:13" outlineLevel="1" x14ac:dyDescent="0.3">
      <c r="C386" s="383">
        <v>64</v>
      </c>
      <c r="D386" s="712"/>
      <c r="E386" s="712"/>
      <c r="F386" s="712"/>
      <c r="G386" s="706"/>
      <c r="H386" s="706"/>
      <c r="I386" s="706"/>
      <c r="J386" s="469"/>
      <c r="K386" s="469"/>
      <c r="L386" s="279" t="str">
        <f t="shared" si="5"/>
        <v>-</v>
      </c>
      <c r="M386" s="16" t="str">
        <f t="shared" si="7"/>
        <v/>
      </c>
    </row>
    <row r="387" spans="3:13" outlineLevel="1" x14ac:dyDescent="0.3">
      <c r="C387" s="383">
        <v>65</v>
      </c>
      <c r="D387" s="712"/>
      <c r="E387" s="712"/>
      <c r="F387" s="712"/>
      <c r="G387" s="706"/>
      <c r="H387" s="706"/>
      <c r="I387" s="706"/>
      <c r="J387" s="469"/>
      <c r="K387" s="469"/>
      <c r="L387" s="279" t="str">
        <f t="shared" si="5"/>
        <v>-</v>
      </c>
      <c r="M387" s="16" t="str">
        <f t="shared" si="7"/>
        <v/>
      </c>
    </row>
    <row r="388" spans="3:13" outlineLevel="1" x14ac:dyDescent="0.3">
      <c r="C388" s="383">
        <v>66</v>
      </c>
      <c r="D388" s="712"/>
      <c r="E388" s="712"/>
      <c r="F388" s="712"/>
      <c r="G388" s="706"/>
      <c r="H388" s="706"/>
      <c r="I388" s="706"/>
      <c r="J388" s="469"/>
      <c r="K388" s="469"/>
      <c r="L388" s="279" t="str">
        <f t="shared" si="5"/>
        <v>-</v>
      </c>
      <c r="M388" s="16" t="str">
        <f t="shared" ref="M388:M422" si="8">IF(
    IFERROR(LEN(LEFT(D388,FIND("-",D388)-1)),0)=0,
    "",
    IF(
        IFERROR(LEN(LEFT(D388,FIND("-",D388)-1)),0)=13,
        IF(
            COUNTIF(enum_ListWasteCategories,D388)&gt;0,
            template_label_error,
            IF(
                AND(D388&lt;&gt;"",G388&lt;&gt;"",J388&lt;&gt;"",K388&lt;&gt;""),
                IF(COUNTIF($D$323:$D$422,D388)&gt;1,
                    template_label_value_inconsistency,
                    template_label_ok
                ),
                IF(AND(D388&lt;&gt;"",G388&lt;&gt;"",J388&lt;&gt;"",K388=""),template_label_missing_value,
                IF(AND(D388&lt;&gt;"",G388&lt;&gt;"",J388="",K388&lt;&gt;""),template_label_missing_value,
                IF(AND(D388&lt;&gt;"",G388="",J388&lt;&gt;"",K388&lt;&gt;""),template_label_missing_value,
                IF(AND(D388="",G388&lt;&gt;"",J388&lt;&gt;"",K388&lt;&gt;""),template_label_missing_value,
                IF(AND(D388&lt;&gt;"",G388&lt;&gt;"",J388="",K388=""),template_label_missing_value,
                IF(AND(D388&lt;&gt;"",G388="",J388&lt;&gt;"",K388=""),template_label_missing_value,
                IF(AND(D388&lt;&gt;"",G388="",J388="",K388&lt;&gt;""),template_label_missing_value,
                IF(AND(D388="",G388="",J388&lt;&gt;"",K388&lt;&gt;""),template_label_missing_value,
                IF(AND(D388="",G388&lt;&gt;"",J388="",K388&lt;&gt;""),template_label_missing_value,
                IF(AND(D388="",G388&lt;&gt;"",J388&lt;&gt;"",K388=""),template_label_missing_value,
                IF(AND(D388="",G388="",J388="",K388&lt;&gt;""),template_label_missing_value,
                IF(AND(D388="",G388="",J388&lt;&gt;"",K388=""),template_label_missing_value,
                IF(AND(D388="",G388&lt;&gt;"",J388="",K388=""),template_label_missing_value,
                IF(AND(D388&lt;&gt;"",G388="",J388="",K388=""),template_label_missing_value,
                "")))))))))))))))),
        template_label_error
    )
)</f>
        <v/>
      </c>
    </row>
    <row r="389" spans="3:13" outlineLevel="1" x14ac:dyDescent="0.3">
      <c r="C389" s="383">
        <v>67</v>
      </c>
      <c r="D389" s="712"/>
      <c r="E389" s="712"/>
      <c r="F389" s="712"/>
      <c r="G389" s="706"/>
      <c r="H389" s="706"/>
      <c r="I389" s="706"/>
      <c r="J389" s="469"/>
      <c r="K389" s="469"/>
      <c r="L389" s="279" t="str">
        <f t="shared" si="5"/>
        <v>-</v>
      </c>
      <c r="M389" s="16" t="str">
        <f t="shared" si="8"/>
        <v/>
      </c>
    </row>
    <row r="390" spans="3:13" outlineLevel="1" x14ac:dyDescent="0.3">
      <c r="C390" s="383">
        <v>68</v>
      </c>
      <c r="D390" s="712"/>
      <c r="E390" s="712"/>
      <c r="F390" s="712"/>
      <c r="G390" s="706"/>
      <c r="H390" s="706"/>
      <c r="I390" s="706"/>
      <c r="J390" s="469"/>
      <c r="K390" s="469"/>
      <c r="L390" s="279" t="str">
        <f t="shared" si="5"/>
        <v>-</v>
      </c>
      <c r="M390" s="16" t="str">
        <f t="shared" si="8"/>
        <v/>
      </c>
    </row>
    <row r="391" spans="3:13" outlineLevel="1" x14ac:dyDescent="0.3">
      <c r="C391" s="383">
        <v>69</v>
      </c>
      <c r="D391" s="712"/>
      <c r="E391" s="712"/>
      <c r="F391" s="712"/>
      <c r="G391" s="706"/>
      <c r="H391" s="706"/>
      <c r="I391" s="706"/>
      <c r="J391" s="469"/>
      <c r="K391" s="469"/>
      <c r="L391" s="279" t="str">
        <f t="shared" si="5"/>
        <v>-</v>
      </c>
      <c r="M391" s="16" t="str">
        <f t="shared" si="8"/>
        <v/>
      </c>
    </row>
    <row r="392" spans="3:13" outlineLevel="1" x14ac:dyDescent="0.3">
      <c r="C392" s="383">
        <v>70</v>
      </c>
      <c r="D392" s="712"/>
      <c r="E392" s="712"/>
      <c r="F392" s="712"/>
      <c r="G392" s="706"/>
      <c r="H392" s="706"/>
      <c r="I392" s="706"/>
      <c r="J392" s="469"/>
      <c r="K392" s="469"/>
      <c r="L392" s="279" t="str">
        <f t="shared" si="5"/>
        <v>-</v>
      </c>
      <c r="M392" s="16" t="str">
        <f t="shared" si="8"/>
        <v/>
      </c>
    </row>
    <row r="393" spans="3:13" outlineLevel="1" x14ac:dyDescent="0.3">
      <c r="C393" s="383">
        <v>71</v>
      </c>
      <c r="D393" s="712"/>
      <c r="E393" s="712"/>
      <c r="F393" s="712"/>
      <c r="G393" s="706"/>
      <c r="H393" s="706"/>
      <c r="I393" s="706"/>
      <c r="J393" s="469"/>
      <c r="K393" s="469"/>
      <c r="L393" s="279" t="str">
        <f t="shared" si="5"/>
        <v>-</v>
      </c>
      <c r="M393" s="16" t="str">
        <f t="shared" si="8"/>
        <v/>
      </c>
    </row>
    <row r="394" spans="3:13" outlineLevel="1" x14ac:dyDescent="0.3">
      <c r="C394" s="383">
        <v>72</v>
      </c>
      <c r="D394" s="712"/>
      <c r="E394" s="712"/>
      <c r="F394" s="712"/>
      <c r="G394" s="706"/>
      <c r="H394" s="706"/>
      <c r="I394" s="706"/>
      <c r="J394" s="469"/>
      <c r="K394" s="469"/>
      <c r="L394" s="279" t="str">
        <f t="shared" si="5"/>
        <v>-</v>
      </c>
      <c r="M394" s="16" t="str">
        <f t="shared" si="8"/>
        <v/>
      </c>
    </row>
    <row r="395" spans="3:13" outlineLevel="1" x14ac:dyDescent="0.3">
      <c r="C395" s="383">
        <v>73</v>
      </c>
      <c r="D395" s="712"/>
      <c r="E395" s="712"/>
      <c r="F395" s="712"/>
      <c r="G395" s="706"/>
      <c r="H395" s="706"/>
      <c r="I395" s="706"/>
      <c r="J395" s="469"/>
      <c r="K395" s="469"/>
      <c r="L395" s="279" t="str">
        <f t="shared" si="5"/>
        <v>-</v>
      </c>
      <c r="M395" s="16" t="str">
        <f t="shared" si="8"/>
        <v/>
      </c>
    </row>
    <row r="396" spans="3:13" outlineLevel="1" x14ac:dyDescent="0.3">
      <c r="C396" s="383">
        <v>74</v>
      </c>
      <c r="D396" s="712"/>
      <c r="E396" s="712"/>
      <c r="F396" s="712"/>
      <c r="G396" s="706"/>
      <c r="H396" s="706"/>
      <c r="I396" s="706"/>
      <c r="J396" s="469"/>
      <c r="K396" s="469"/>
      <c r="L396" s="279" t="str">
        <f t="shared" si="5"/>
        <v>-</v>
      </c>
      <c r="M396" s="16" t="str">
        <f t="shared" si="8"/>
        <v/>
      </c>
    </row>
    <row r="397" spans="3:13" outlineLevel="1" x14ac:dyDescent="0.3">
      <c r="C397" s="383">
        <v>75</v>
      </c>
      <c r="D397" s="712"/>
      <c r="E397" s="712"/>
      <c r="F397" s="712"/>
      <c r="G397" s="706"/>
      <c r="H397" s="706"/>
      <c r="I397" s="706"/>
      <c r="J397" s="469"/>
      <c r="K397" s="469"/>
      <c r="L397" s="279" t="str">
        <f t="shared" si="5"/>
        <v>-</v>
      </c>
      <c r="M397" s="16" t="str">
        <f t="shared" si="8"/>
        <v/>
      </c>
    </row>
    <row r="398" spans="3:13" outlineLevel="1" x14ac:dyDescent="0.3">
      <c r="C398" s="383">
        <v>76</v>
      </c>
      <c r="D398" s="712"/>
      <c r="E398" s="712"/>
      <c r="F398" s="712"/>
      <c r="G398" s="706"/>
      <c r="H398" s="706"/>
      <c r="I398" s="706"/>
      <c r="J398" s="469"/>
      <c r="K398" s="469"/>
      <c r="L398" s="279" t="str">
        <f t="shared" si="5"/>
        <v>-</v>
      </c>
      <c r="M398" s="16" t="str">
        <f t="shared" si="8"/>
        <v/>
      </c>
    </row>
    <row r="399" spans="3:13" outlineLevel="1" x14ac:dyDescent="0.3">
      <c r="C399" s="383">
        <v>77</v>
      </c>
      <c r="D399" s="712"/>
      <c r="E399" s="712"/>
      <c r="F399" s="712"/>
      <c r="G399" s="706"/>
      <c r="H399" s="706"/>
      <c r="I399" s="706"/>
      <c r="J399" s="469"/>
      <c r="K399" s="469"/>
      <c r="L399" s="279" t="str">
        <f t="shared" si="5"/>
        <v>-</v>
      </c>
      <c r="M399" s="16" t="str">
        <f t="shared" si="8"/>
        <v/>
      </c>
    </row>
    <row r="400" spans="3:13" outlineLevel="1" x14ac:dyDescent="0.3">
      <c r="C400" s="383">
        <v>78</v>
      </c>
      <c r="D400" s="712"/>
      <c r="E400" s="712"/>
      <c r="F400" s="712"/>
      <c r="G400" s="706"/>
      <c r="H400" s="706"/>
      <c r="I400" s="706"/>
      <c r="J400" s="469"/>
      <c r="K400" s="469"/>
      <c r="L400" s="279" t="str">
        <f t="shared" si="5"/>
        <v>-</v>
      </c>
      <c r="M400" s="16" t="str">
        <f t="shared" si="8"/>
        <v/>
      </c>
    </row>
    <row r="401" spans="3:13" outlineLevel="1" x14ac:dyDescent="0.3">
      <c r="C401" s="383">
        <v>79</v>
      </c>
      <c r="D401" s="712"/>
      <c r="E401" s="712"/>
      <c r="F401" s="712"/>
      <c r="G401" s="706"/>
      <c r="H401" s="706"/>
      <c r="I401" s="706"/>
      <c r="J401" s="469"/>
      <c r="K401" s="469"/>
      <c r="L401" s="279" t="str">
        <f t="shared" si="5"/>
        <v>-</v>
      </c>
      <c r="M401" s="16" t="str">
        <f t="shared" si="8"/>
        <v/>
      </c>
    </row>
    <row r="402" spans="3:13" outlineLevel="1" x14ac:dyDescent="0.3">
      <c r="C402" s="383">
        <v>80</v>
      </c>
      <c r="D402" s="712"/>
      <c r="E402" s="712"/>
      <c r="F402" s="712"/>
      <c r="G402" s="706"/>
      <c r="H402" s="706"/>
      <c r="I402" s="706"/>
      <c r="J402" s="469"/>
      <c r="K402" s="469"/>
      <c r="L402" s="279" t="str">
        <f t="shared" si="5"/>
        <v>-</v>
      </c>
      <c r="M402" s="16" t="str">
        <f t="shared" si="8"/>
        <v/>
      </c>
    </row>
    <row r="403" spans="3:13" outlineLevel="1" x14ac:dyDescent="0.3">
      <c r="C403" s="383">
        <v>81</v>
      </c>
      <c r="D403" s="712"/>
      <c r="E403" s="712"/>
      <c r="F403" s="712"/>
      <c r="G403" s="706"/>
      <c r="H403" s="706"/>
      <c r="I403" s="706"/>
      <c r="J403" s="469"/>
      <c r="K403" s="469"/>
      <c r="L403" s="279" t="str">
        <f t="shared" si="5"/>
        <v>-</v>
      </c>
      <c r="M403" s="16" t="str">
        <f t="shared" si="8"/>
        <v/>
      </c>
    </row>
    <row r="404" spans="3:13" outlineLevel="1" x14ac:dyDescent="0.3">
      <c r="C404" s="383">
        <v>82</v>
      </c>
      <c r="D404" s="712"/>
      <c r="E404" s="712"/>
      <c r="F404" s="712"/>
      <c r="G404" s="706"/>
      <c r="H404" s="706"/>
      <c r="I404" s="706"/>
      <c r="J404" s="469"/>
      <c r="K404" s="469"/>
      <c r="L404" s="279" t="str">
        <f t="shared" si="5"/>
        <v>-</v>
      </c>
      <c r="M404" s="16" t="str">
        <f t="shared" si="8"/>
        <v/>
      </c>
    </row>
    <row r="405" spans="3:13" outlineLevel="1" x14ac:dyDescent="0.3">
      <c r="C405" s="383">
        <v>83</v>
      </c>
      <c r="D405" s="712"/>
      <c r="E405" s="712"/>
      <c r="F405" s="712"/>
      <c r="G405" s="706"/>
      <c r="H405" s="706"/>
      <c r="I405" s="706"/>
      <c r="J405" s="469"/>
      <c r="K405" s="469"/>
      <c r="L405" s="279" t="str">
        <f t="shared" si="5"/>
        <v>-</v>
      </c>
      <c r="M405" s="16" t="str">
        <f t="shared" si="8"/>
        <v/>
      </c>
    </row>
    <row r="406" spans="3:13" outlineLevel="1" x14ac:dyDescent="0.3">
      <c r="C406" s="383">
        <v>84</v>
      </c>
      <c r="D406" s="712"/>
      <c r="E406" s="712"/>
      <c r="F406" s="712"/>
      <c r="G406" s="706"/>
      <c r="H406" s="706"/>
      <c r="I406" s="706"/>
      <c r="J406" s="469"/>
      <c r="K406" s="469"/>
      <c r="L406" s="279" t="str">
        <f t="shared" si="5"/>
        <v>-</v>
      </c>
      <c r="M406" s="16" t="str">
        <f t="shared" si="8"/>
        <v/>
      </c>
    </row>
    <row r="407" spans="3:13" outlineLevel="1" x14ac:dyDescent="0.3">
      <c r="C407" s="383">
        <v>85</v>
      </c>
      <c r="D407" s="712"/>
      <c r="E407" s="712"/>
      <c r="F407" s="712"/>
      <c r="G407" s="706"/>
      <c r="H407" s="706"/>
      <c r="I407" s="706"/>
      <c r="J407" s="469"/>
      <c r="K407" s="469"/>
      <c r="L407" s="279" t="str">
        <f t="shared" si="5"/>
        <v>-</v>
      </c>
      <c r="M407" s="16" t="str">
        <f t="shared" si="8"/>
        <v/>
      </c>
    </row>
    <row r="408" spans="3:13" outlineLevel="1" x14ac:dyDescent="0.3">
      <c r="C408" s="383">
        <v>86</v>
      </c>
      <c r="D408" s="712"/>
      <c r="E408" s="712"/>
      <c r="F408" s="712"/>
      <c r="G408" s="706"/>
      <c r="H408" s="706"/>
      <c r="I408" s="706"/>
      <c r="J408" s="469"/>
      <c r="K408" s="469"/>
      <c r="L408" s="279" t="str">
        <f t="shared" si="5"/>
        <v>-</v>
      </c>
      <c r="M408" s="16" t="str">
        <f t="shared" si="8"/>
        <v/>
      </c>
    </row>
    <row r="409" spans="3:13" outlineLevel="1" x14ac:dyDescent="0.3">
      <c r="C409" s="383">
        <v>87</v>
      </c>
      <c r="D409" s="712"/>
      <c r="E409" s="712"/>
      <c r="F409" s="712"/>
      <c r="G409" s="706"/>
      <c r="H409" s="706"/>
      <c r="I409" s="706"/>
      <c r="J409" s="469"/>
      <c r="K409" s="469"/>
      <c r="L409" s="279" t="str">
        <f t="shared" si="5"/>
        <v>-</v>
      </c>
      <c r="M409" s="16" t="str">
        <f t="shared" si="8"/>
        <v/>
      </c>
    </row>
    <row r="410" spans="3:13" outlineLevel="1" x14ac:dyDescent="0.3">
      <c r="C410" s="383">
        <v>88</v>
      </c>
      <c r="D410" s="712"/>
      <c r="E410" s="712"/>
      <c r="F410" s="712"/>
      <c r="G410" s="706"/>
      <c r="H410" s="706"/>
      <c r="I410" s="706"/>
      <c r="J410" s="469"/>
      <c r="K410" s="469"/>
      <c r="L410" s="279" t="str">
        <f t="shared" si="5"/>
        <v>-</v>
      </c>
      <c r="M410" s="16" t="str">
        <f t="shared" si="8"/>
        <v/>
      </c>
    </row>
    <row r="411" spans="3:13" outlineLevel="1" x14ac:dyDescent="0.3">
      <c r="C411" s="383">
        <v>89</v>
      </c>
      <c r="D411" s="712"/>
      <c r="E411" s="712"/>
      <c r="F411" s="712"/>
      <c r="G411" s="706"/>
      <c r="H411" s="706"/>
      <c r="I411" s="706"/>
      <c r="J411" s="469"/>
      <c r="K411" s="469"/>
      <c r="L411" s="279" t="str">
        <f t="shared" si="5"/>
        <v>-</v>
      </c>
      <c r="M411" s="16" t="str">
        <f t="shared" si="8"/>
        <v/>
      </c>
    </row>
    <row r="412" spans="3:13" outlineLevel="1" x14ac:dyDescent="0.3">
      <c r="C412" s="383">
        <v>90</v>
      </c>
      <c r="D412" s="712"/>
      <c r="E412" s="712"/>
      <c r="F412" s="712"/>
      <c r="G412" s="706"/>
      <c r="H412" s="706"/>
      <c r="I412" s="706"/>
      <c r="J412" s="469"/>
      <c r="K412" s="469"/>
      <c r="L412" s="279" t="str">
        <f t="shared" si="5"/>
        <v>-</v>
      </c>
      <c r="M412" s="16" t="str">
        <f t="shared" si="8"/>
        <v/>
      </c>
    </row>
    <row r="413" spans="3:13" outlineLevel="1" x14ac:dyDescent="0.3">
      <c r="C413" s="383">
        <v>91</v>
      </c>
      <c r="D413" s="712"/>
      <c r="E413" s="712"/>
      <c r="F413" s="712"/>
      <c r="G413" s="706"/>
      <c r="H413" s="706"/>
      <c r="I413" s="706"/>
      <c r="J413" s="469"/>
      <c r="K413" s="469"/>
      <c r="L413" s="279" t="str">
        <f t="shared" si="5"/>
        <v>-</v>
      </c>
      <c r="M413" s="16" t="str">
        <f t="shared" si="8"/>
        <v/>
      </c>
    </row>
    <row r="414" spans="3:13" outlineLevel="1" x14ac:dyDescent="0.3">
      <c r="C414" s="383">
        <v>92</v>
      </c>
      <c r="D414" s="712"/>
      <c r="E414" s="712"/>
      <c r="F414" s="712"/>
      <c r="G414" s="706"/>
      <c r="H414" s="706"/>
      <c r="I414" s="706"/>
      <c r="J414" s="469"/>
      <c r="K414" s="469"/>
      <c r="L414" s="279" t="str">
        <f t="shared" si="5"/>
        <v>-</v>
      </c>
      <c r="M414" s="16" t="str">
        <f t="shared" si="8"/>
        <v/>
      </c>
    </row>
    <row r="415" spans="3:13" outlineLevel="1" x14ac:dyDescent="0.3">
      <c r="C415" s="383">
        <v>93</v>
      </c>
      <c r="D415" s="712"/>
      <c r="E415" s="712"/>
      <c r="F415" s="712"/>
      <c r="G415" s="706"/>
      <c r="H415" s="706"/>
      <c r="I415" s="706"/>
      <c r="J415" s="469"/>
      <c r="K415" s="469"/>
      <c r="L415" s="279" t="str">
        <f t="shared" si="5"/>
        <v>-</v>
      </c>
      <c r="M415" s="16" t="str">
        <f t="shared" si="8"/>
        <v/>
      </c>
    </row>
    <row r="416" spans="3:13" outlineLevel="1" x14ac:dyDescent="0.3">
      <c r="C416" s="383">
        <v>94</v>
      </c>
      <c r="D416" s="712"/>
      <c r="E416" s="712"/>
      <c r="F416" s="712"/>
      <c r="G416" s="706"/>
      <c r="H416" s="706"/>
      <c r="I416" s="706"/>
      <c r="J416" s="469"/>
      <c r="K416" s="469"/>
      <c r="L416" s="279" t="str">
        <f t="shared" si="5"/>
        <v>-</v>
      </c>
      <c r="M416" s="16" t="str">
        <f t="shared" si="8"/>
        <v/>
      </c>
    </row>
    <row r="417" spans="3:13" outlineLevel="1" x14ac:dyDescent="0.3">
      <c r="C417" s="383">
        <v>95</v>
      </c>
      <c r="D417" s="712"/>
      <c r="E417" s="712"/>
      <c r="F417" s="712"/>
      <c r="G417" s="706"/>
      <c r="H417" s="706"/>
      <c r="I417" s="706"/>
      <c r="J417" s="469"/>
      <c r="K417" s="469"/>
      <c r="L417" s="279" t="str">
        <f t="shared" si="5"/>
        <v>-</v>
      </c>
      <c r="M417" s="16" t="str">
        <f t="shared" si="8"/>
        <v/>
      </c>
    </row>
    <row r="418" spans="3:13" outlineLevel="1" x14ac:dyDescent="0.3">
      <c r="C418" s="383">
        <v>96</v>
      </c>
      <c r="D418" s="712"/>
      <c r="E418" s="712"/>
      <c r="F418" s="712"/>
      <c r="G418" s="706"/>
      <c r="H418" s="706"/>
      <c r="I418" s="706"/>
      <c r="J418" s="469"/>
      <c r="K418" s="469"/>
      <c r="L418" s="279" t="str">
        <f t="shared" si="5"/>
        <v>-</v>
      </c>
      <c r="M418" s="16" t="str">
        <f t="shared" si="8"/>
        <v/>
      </c>
    </row>
    <row r="419" spans="3:13" outlineLevel="1" x14ac:dyDescent="0.3">
      <c r="C419" s="383">
        <v>97</v>
      </c>
      <c r="D419" s="712"/>
      <c r="E419" s="712"/>
      <c r="F419" s="712"/>
      <c r="G419" s="706"/>
      <c r="H419" s="706"/>
      <c r="I419" s="706"/>
      <c r="J419" s="469"/>
      <c r="K419" s="469"/>
      <c r="L419" s="279" t="str">
        <f t="shared" si="5"/>
        <v>-</v>
      </c>
      <c r="M419" s="16" t="str">
        <f t="shared" si="8"/>
        <v/>
      </c>
    </row>
    <row r="420" spans="3:13" outlineLevel="1" x14ac:dyDescent="0.3">
      <c r="C420" s="383">
        <v>98</v>
      </c>
      <c r="D420" s="712"/>
      <c r="E420" s="712"/>
      <c r="F420" s="712"/>
      <c r="G420" s="706"/>
      <c r="H420" s="706"/>
      <c r="I420" s="706"/>
      <c r="J420" s="469"/>
      <c r="K420" s="469"/>
      <c r="L420" s="279" t="str">
        <f t="shared" si="5"/>
        <v>-</v>
      </c>
      <c r="M420" s="16" t="str">
        <f t="shared" si="8"/>
        <v/>
      </c>
    </row>
    <row r="421" spans="3:13" outlineLevel="1" x14ac:dyDescent="0.3">
      <c r="C421" s="383">
        <v>99</v>
      </c>
      <c r="D421" s="712"/>
      <c r="E421" s="712"/>
      <c r="F421" s="712"/>
      <c r="G421" s="706"/>
      <c r="H421" s="706"/>
      <c r="I421" s="706"/>
      <c r="J421" s="469"/>
      <c r="K421" s="469"/>
      <c r="L421" s="279" t="str">
        <f t="shared" si="5"/>
        <v>-</v>
      </c>
      <c r="M421" s="16" t="str">
        <f t="shared" si="8"/>
        <v/>
      </c>
    </row>
    <row r="422" spans="3:13" ht="15" outlineLevel="1" thickBot="1" x14ac:dyDescent="0.35">
      <c r="C422" s="383">
        <v>100</v>
      </c>
      <c r="D422" s="903"/>
      <c r="E422" s="903"/>
      <c r="F422" s="903"/>
      <c r="G422" s="905"/>
      <c r="H422" s="905"/>
      <c r="I422" s="905"/>
      <c r="J422" s="284"/>
      <c r="K422" s="284"/>
      <c r="L422" s="281" t="str">
        <f t="shared" si="5"/>
        <v>-</v>
      </c>
      <c r="M422" s="16" t="str">
        <f t="shared" si="8"/>
        <v/>
      </c>
    </row>
    <row r="423" spans="3:13" x14ac:dyDescent="0.3">
      <c r="C423" s="886" t="str">
        <f>template_label_total_amount_of_waste_generated</f>
        <v>Total amount of waste generated</v>
      </c>
      <c r="D423" s="939" t="str">
        <f>template_label_total_hazardous_waste_generated_mass</f>
        <v>Total Hazardous waste generated (mass)</v>
      </c>
      <c r="E423" s="939"/>
      <c r="F423" s="940"/>
      <c r="G423" s="935" t="s">
        <v>2757</v>
      </c>
      <c r="H423" s="935"/>
      <c r="I423" s="936"/>
      <c r="J423" s="960">
        <f>IF( OR(
        G423="",
        (
            COUNTA(D323:D422)=0 *
            COUNTA(J323:J422)=0 *
            COUNTA(K323:K422)=0
        )
     ),
    "-",
    IF(G423="metric tonnes (t)",
        SUMIFS(L323:L422, D323:D422, "* Hazardous *", G323:G422, "*kilograms (kg)*")/1000 +
        SUMIFS(L323:L422, D323:D422, "* Hazardous *", G323:G422, "*metric tonnes (t)*"),
        SUMIFS(L323:L422, D323:D422, "* Hazardous *", G323:G422, "*kilograms (kg)*") +
        SUMIFS(L323:L422, D323:D422, "* Hazardous *", G323:G422, "*metric tonnes (t)*")*1000
    )
)</f>
        <v>1200</v>
      </c>
      <c r="K423" s="960"/>
      <c r="L423" s="961"/>
      <c r="M423" s="16" t="str" cm="1">
        <f t="array" ref="M423">IF(G423="",
    IF(SUMPRODUCT(--((G323:G422="metric tonnes (t)")+(G323:G422="kilograms (kg)")))&gt;0,
        template_label_missing_value,
        ""
    ),
    IF(SUMPRODUCT(--((G323:G422="metric tonnes (t)")+(G323:G422="kilograms (kg)")))&gt;0,
        template_label_ok,
        ""
    )
)</f>
        <v>OK</v>
      </c>
    </row>
    <row r="424" spans="3:13" x14ac:dyDescent="0.3">
      <c r="C424" s="887"/>
      <c r="D424" s="709" t="str">
        <f>template_label_total_non_hazardous_waste_generated_mass</f>
        <v>Total Non-Hazardous waste generated (mass)</v>
      </c>
      <c r="E424" s="709"/>
      <c r="F424" s="710"/>
      <c r="G424" s="930" t="str">
        <f>IF($G$423="", "-", $G$423)</f>
        <v>kilograms (kg)</v>
      </c>
      <c r="H424" s="930"/>
      <c r="I424" s="932"/>
      <c r="J424" s="855">
        <f>IF(
    OR(
        G423="",
        AND(
            COUNTA(D323:D422)=0,
            COUNTA(J323:J422)=0,
            COUNTA(K323:K422)=0
        )
    ),
    "-",
    IF(
        G423="metric tonnes (t)",
        SUMIFS(L323:L422, D323:D422, "* Non-Hazardous *", G323:G422, "*kilograms (kg)*")/1000 +
        SUMIFS(L323:L422, D323:D422, "* Non-Hazardous *", G323:G422, "*metric tonnes (t)*"),
        SUMIFS(L323:L422, D323:D422, "* Non-Hazardous *", G323:G422, "*kilograms (kg)*") +
        SUMIFS(L323:L422, D323:D422, "* Non-Hazardous *", G323:G422, "*metric tonnes (t)*")*1000
    )
)</f>
        <v>2850000</v>
      </c>
      <c r="K424" s="855"/>
      <c r="L424" s="929"/>
    </row>
    <row r="425" spans="3:13" ht="15" thickBot="1" x14ac:dyDescent="0.35">
      <c r="C425" s="887"/>
      <c r="D425" s="937" t="str">
        <f>template_label_total_waste_generated_mass</f>
        <v>Total waste generated (mass)</v>
      </c>
      <c r="E425" s="937"/>
      <c r="F425" s="938"/>
      <c r="G425" s="930" t="str">
        <f>IF($G$423="", "-", $G$423)</f>
        <v>kilograms (kg)</v>
      </c>
      <c r="H425" s="931"/>
      <c r="I425" s="934"/>
      <c r="J425" s="739">
        <f>IF(AND(J423="-",J424="-"),"-",SUM(J423:L424))</f>
        <v>2851200</v>
      </c>
      <c r="K425" s="739"/>
      <c r="L425" s="928"/>
    </row>
    <row r="426" spans="3:13" x14ac:dyDescent="0.3">
      <c r="C426" s="887"/>
      <c r="D426" s="707" t="str">
        <f>template_label_total_hazardous_waste_generated_volume</f>
        <v>Total Hazardous waste generated (volume)</v>
      </c>
      <c r="E426" s="707"/>
      <c r="F426" s="708"/>
      <c r="G426" s="711" t="str">
        <f>template_label_cubic_meters</f>
        <v>cubic meters (m³)</v>
      </c>
      <c r="H426" s="711"/>
      <c r="I426" s="711"/>
      <c r="J426" s="963">
        <f>IF(
    AND(
        COUNTA(D323:D422)=0,
        COUNTA(J323:J422)=0,
        COUNTA(K323:K422)=0
    ),
    "-",
    SUMIFS(L323:L422, D323:D422,"* Hazardous *", G323:G422,"*cubic meters (m3)*")
)</f>
        <v>100</v>
      </c>
      <c r="K426" s="963"/>
      <c r="L426" s="964"/>
    </row>
    <row r="427" spans="3:13" x14ac:dyDescent="0.3">
      <c r="C427" s="887"/>
      <c r="D427" s="709" t="str">
        <f>template_label_total_non_hazardous_waste_generated_volume</f>
        <v>Total Non-Hazardous waste generated (volume)</v>
      </c>
      <c r="E427" s="709"/>
      <c r="F427" s="710"/>
      <c r="G427" s="930" t="str">
        <f>template_label_cubic_meters</f>
        <v>cubic meters (m³)</v>
      </c>
      <c r="H427" s="930"/>
      <c r="I427" s="930"/>
      <c r="J427" s="855">
        <f>IF(
    AND(
        COUNTA(D323:D422)=0,
        COUNTA(J323:J422)=0,
        COUNTA(K323:K422)=0
    ),
    "-",
    SUMIFS(L323:L422, D323:D422,"*Non-Hazardous*", G323:G422,"*cubic meters (m3)*")
)</f>
        <v>5000</v>
      </c>
      <c r="K427" s="855"/>
      <c r="L427" s="929"/>
    </row>
    <row r="428" spans="3:13" ht="15" thickBot="1" x14ac:dyDescent="0.35">
      <c r="C428" s="888"/>
      <c r="D428" s="937" t="str">
        <f>template_label_total_waste_generated_volume</f>
        <v>Total waste generated (volume)</v>
      </c>
      <c r="E428" s="937"/>
      <c r="F428" s="938"/>
      <c r="G428" s="931" t="str">
        <f>template_label_cubic_meters</f>
        <v>cubic meters (m³)</v>
      </c>
      <c r="H428" s="931"/>
      <c r="I428" s="931"/>
      <c r="J428" s="739">
        <f>IF(AND(J426="-",J427="-"),"-",SUM(J426:L427))</f>
        <v>5100</v>
      </c>
      <c r="K428" s="739"/>
      <c r="L428" s="928"/>
    </row>
    <row r="429" spans="3:13" ht="15" thickBot="1" x14ac:dyDescent="0.35"/>
    <row r="430" spans="3:13" x14ac:dyDescent="0.3">
      <c r="C430" s="779"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2024-01-01 to 2024-12-31 [If applicable]</v>
      </c>
      <c r="D430" s="780"/>
      <c r="E430" s="780"/>
      <c r="F430" s="780"/>
      <c r="G430" s="780"/>
      <c r="H430" s="780"/>
      <c r="I430" s="780"/>
      <c r="J430" s="781"/>
    </row>
    <row r="431" spans="3:13" x14ac:dyDescent="0.3">
      <c r="C431" s="782" t="s">
        <v>3749</v>
      </c>
      <c r="D431" s="783"/>
      <c r="E431" s="783"/>
      <c r="F431" s="783"/>
      <c r="G431" s="783"/>
      <c r="H431" s="783"/>
      <c r="I431" s="783"/>
      <c r="J431" s="784"/>
    </row>
    <row r="432" spans="3:13" x14ac:dyDescent="0.3">
      <c r="C432" s="713" t="s">
        <v>5653</v>
      </c>
      <c r="D432" s="714"/>
      <c r="E432" s="714"/>
      <c r="F432" s="714"/>
      <c r="G432" s="714"/>
      <c r="H432" s="714"/>
      <c r="I432" s="714"/>
      <c r="J432" s="715"/>
      <c r="K432" s="11"/>
      <c r="L432" s="11"/>
    </row>
    <row r="433" spans="3:12" ht="30" customHeight="1" x14ac:dyDescent="0.3">
      <c r="C433" s="675" t="str">
        <f>template_label_does_the_undertaking_operate_in_a_sector_using_significant_material_flows</f>
        <v>Does the undertaking the undertaking operate in a sector using significant material flows (for example manufacturing construction packaging or others)?</v>
      </c>
      <c r="D433" s="958"/>
      <c r="E433" s="958"/>
      <c r="F433" s="959"/>
      <c r="G433" s="677" t="b">
        <v>1</v>
      </c>
      <c r="H433" s="678"/>
      <c r="I433" s="678"/>
      <c r="J433" s="679"/>
    </row>
    <row r="434" spans="3:12" ht="43.5" customHeight="1" x14ac:dyDescent="0.3">
      <c r="C434" s="142" t="str">
        <f>template_label_row_id</f>
        <v>Row ID</v>
      </c>
      <c r="D434" s="856" t="str">
        <f>template_label_name_of_the_key_material</f>
        <v>Name of the key material</v>
      </c>
      <c r="E434" s="856"/>
      <c r="F434" s="856"/>
      <c r="G434" s="856" t="str">
        <f>template_label_mass_volume</f>
        <v>Mass / Volume</v>
      </c>
      <c r="H434" s="856"/>
      <c r="I434" s="856"/>
      <c r="J434" s="107" t="str">
        <f>template_label_unit_of_measurement</f>
        <v>Unit of measurement</v>
      </c>
    </row>
    <row r="435" spans="3:12" x14ac:dyDescent="0.3">
      <c r="C435" s="231">
        <v>1</v>
      </c>
      <c r="D435" s="716" t="s">
        <v>9557</v>
      </c>
      <c r="E435" s="716"/>
      <c r="F435" s="716"/>
      <c r="G435" s="702">
        <v>1500</v>
      </c>
      <c r="H435" s="702"/>
      <c r="I435" s="702"/>
      <c r="J435" s="145" t="s">
        <v>2757</v>
      </c>
      <c r="K435" s="17" t="str">
        <f>IF(AND(G433=TRUE,D435&lt;&gt;"",G435&lt;&gt;"",J435&lt;&gt;""),
    template_label_ok,
    IF(AND(G433=TRUE,OR(D435="",G435="",J435="")),
        template_label_missing_value,
        ""
    )
)</f>
        <v>OK</v>
      </c>
    </row>
    <row r="436" spans="3:12" x14ac:dyDescent="0.3">
      <c r="C436" s="231">
        <v>2</v>
      </c>
      <c r="D436" s="844" t="s">
        <v>9558</v>
      </c>
      <c r="E436" s="844"/>
      <c r="F436" s="844"/>
      <c r="G436" s="702">
        <v>800</v>
      </c>
      <c r="H436" s="702"/>
      <c r="I436" s="702"/>
      <c r="J436" s="145" t="s">
        <v>9556</v>
      </c>
      <c r="K436" s="17" t="str">
        <f t="shared" ref="K436:K534" si="9">IF(AND(D436&lt;&gt;"",G436&lt;&gt;"",J436&lt;&gt;""),
    template_label_ok,
    IF(AND(D436&lt;&gt;"",G436&lt;&gt;"",J436=""),
        template_label_missing_value,
        IF(AND(D436&lt;&gt;"",G436="",J436&lt;&gt;""),
            template_label_missing_value,
            IF(AND(D436&lt;&gt;"",G436="",J436=""),
                template_label_missing_value,
                IF(AND(D436="",G436="",J436=""),
                    "",
                    template_label_missing_value
                )
            )
        )
    )
)</f>
        <v>OK</v>
      </c>
    </row>
    <row r="437" spans="3:12" x14ac:dyDescent="0.3">
      <c r="C437" s="231">
        <v>3</v>
      </c>
      <c r="D437" s="844"/>
      <c r="E437" s="844"/>
      <c r="F437" s="844"/>
      <c r="G437" s="702"/>
      <c r="H437" s="702"/>
      <c r="I437" s="702"/>
      <c r="J437" s="145"/>
      <c r="K437" s="17" t="str">
        <f t="shared" si="9"/>
        <v/>
      </c>
      <c r="L437" t="str">
        <f>template_label_additional_rows_warning</f>
        <v>ℹ️  Lists can be expanded using the little [+] button on the left.  If the number of rows is not sufficient, those can be added by right clicking the second row and selecting "Insert row".</v>
      </c>
    </row>
    <row r="438" spans="3:12" hidden="1" outlineLevel="2" x14ac:dyDescent="0.3">
      <c r="C438" s="231">
        <v>4</v>
      </c>
      <c r="D438" s="844"/>
      <c r="E438" s="844"/>
      <c r="F438" s="844"/>
      <c r="G438" s="702"/>
      <c r="H438" s="702"/>
      <c r="I438" s="702"/>
      <c r="J438" s="145"/>
      <c r="K438" s="17" t="str">
        <f t="shared" si="9"/>
        <v/>
      </c>
    </row>
    <row r="439" spans="3:12" hidden="1" outlineLevel="2" x14ac:dyDescent="0.3">
      <c r="C439" s="231">
        <v>5</v>
      </c>
      <c r="D439" s="844"/>
      <c r="E439" s="844"/>
      <c r="F439" s="844"/>
      <c r="G439" s="702"/>
      <c r="H439" s="702"/>
      <c r="I439" s="702"/>
      <c r="J439" s="145"/>
      <c r="K439" s="17" t="str">
        <f t="shared" si="9"/>
        <v/>
      </c>
    </row>
    <row r="440" spans="3:12" hidden="1" outlineLevel="2" x14ac:dyDescent="0.3">
      <c r="C440" s="231">
        <v>6</v>
      </c>
      <c r="D440" s="716"/>
      <c r="E440" s="716"/>
      <c r="F440" s="716"/>
      <c r="G440" s="702"/>
      <c r="H440" s="702"/>
      <c r="I440" s="702"/>
      <c r="J440" s="145"/>
      <c r="K440" s="17" t="str">
        <f t="shared" si="9"/>
        <v/>
      </c>
    </row>
    <row r="441" spans="3:12" hidden="1" outlineLevel="2" x14ac:dyDescent="0.3">
      <c r="C441" s="231">
        <v>7</v>
      </c>
      <c r="D441" s="716"/>
      <c r="E441" s="716"/>
      <c r="F441" s="716"/>
      <c r="G441" s="702"/>
      <c r="H441" s="702"/>
      <c r="I441" s="702"/>
      <c r="J441" s="145"/>
      <c r="K441" s="17" t="str">
        <f t="shared" si="9"/>
        <v/>
      </c>
    </row>
    <row r="442" spans="3:12" hidden="1" outlineLevel="2" x14ac:dyDescent="0.3">
      <c r="C442" s="231">
        <v>8</v>
      </c>
      <c r="D442" s="716"/>
      <c r="E442" s="716"/>
      <c r="F442" s="716"/>
      <c r="G442" s="702"/>
      <c r="H442" s="702"/>
      <c r="I442" s="702"/>
      <c r="J442" s="145"/>
      <c r="K442" s="17" t="str">
        <f t="shared" si="9"/>
        <v/>
      </c>
    </row>
    <row r="443" spans="3:12" hidden="1" outlineLevel="2" x14ac:dyDescent="0.3">
      <c r="C443" s="231">
        <v>9</v>
      </c>
      <c r="D443" s="716"/>
      <c r="E443" s="716"/>
      <c r="F443" s="716"/>
      <c r="G443" s="702"/>
      <c r="H443" s="702"/>
      <c r="I443" s="702"/>
      <c r="J443" s="145"/>
      <c r="K443" s="17" t="str">
        <f t="shared" si="9"/>
        <v/>
      </c>
    </row>
    <row r="444" spans="3:12" hidden="1" outlineLevel="2" x14ac:dyDescent="0.3">
      <c r="C444" s="231">
        <v>10</v>
      </c>
      <c r="D444" s="716"/>
      <c r="E444" s="716"/>
      <c r="F444" s="716"/>
      <c r="G444" s="702"/>
      <c r="H444" s="702"/>
      <c r="I444" s="702"/>
      <c r="J444" s="145"/>
      <c r="K444" s="17" t="str">
        <f t="shared" si="9"/>
        <v/>
      </c>
    </row>
    <row r="445" spans="3:12" hidden="1" outlineLevel="2" x14ac:dyDescent="0.3">
      <c r="C445" s="231">
        <v>11</v>
      </c>
      <c r="D445" s="703"/>
      <c r="E445" s="704"/>
      <c r="F445" s="705"/>
      <c r="G445" s="702"/>
      <c r="H445" s="702"/>
      <c r="I445" s="702"/>
      <c r="J445" s="145"/>
      <c r="K445" s="17" t="str">
        <f t="shared" si="9"/>
        <v/>
      </c>
    </row>
    <row r="446" spans="3:12" hidden="1" outlineLevel="2" x14ac:dyDescent="0.3">
      <c r="C446" s="231">
        <v>12</v>
      </c>
      <c r="D446" s="703"/>
      <c r="E446" s="704"/>
      <c r="F446" s="705"/>
      <c r="G446" s="702"/>
      <c r="H446" s="702"/>
      <c r="I446" s="702"/>
      <c r="J446" s="145"/>
      <c r="K446" s="17" t="str">
        <f t="shared" si="9"/>
        <v/>
      </c>
    </row>
    <row r="447" spans="3:12" hidden="1" outlineLevel="2" x14ac:dyDescent="0.3">
      <c r="C447" s="231">
        <v>13</v>
      </c>
      <c r="D447" s="703"/>
      <c r="E447" s="704"/>
      <c r="F447" s="705"/>
      <c r="G447" s="702"/>
      <c r="H447" s="702"/>
      <c r="I447" s="702"/>
      <c r="J447" s="145"/>
      <c r="K447" s="17" t="str">
        <f t="shared" si="9"/>
        <v/>
      </c>
    </row>
    <row r="448" spans="3:12" hidden="1" outlineLevel="2" x14ac:dyDescent="0.3">
      <c r="C448" s="231">
        <v>14</v>
      </c>
      <c r="D448" s="703"/>
      <c r="E448" s="704"/>
      <c r="F448" s="705"/>
      <c r="G448" s="702"/>
      <c r="H448" s="702"/>
      <c r="I448" s="702"/>
      <c r="J448" s="145"/>
      <c r="K448" s="17" t="str">
        <f t="shared" si="9"/>
        <v/>
      </c>
    </row>
    <row r="449" spans="3:11" hidden="1" outlineLevel="2" x14ac:dyDescent="0.3">
      <c r="C449" s="231">
        <v>15</v>
      </c>
      <c r="D449" s="703"/>
      <c r="E449" s="704"/>
      <c r="F449" s="705"/>
      <c r="G449" s="702"/>
      <c r="H449" s="702"/>
      <c r="I449" s="702"/>
      <c r="J449" s="145"/>
      <c r="K449" s="17" t="str">
        <f t="shared" si="9"/>
        <v/>
      </c>
    </row>
    <row r="450" spans="3:11" hidden="1" outlineLevel="2" x14ac:dyDescent="0.3">
      <c r="C450" s="231">
        <v>16</v>
      </c>
      <c r="D450" s="703"/>
      <c r="E450" s="704"/>
      <c r="F450" s="705"/>
      <c r="G450" s="702"/>
      <c r="H450" s="702"/>
      <c r="I450" s="702"/>
      <c r="J450" s="145"/>
      <c r="K450" s="17" t="str">
        <f t="shared" si="9"/>
        <v/>
      </c>
    </row>
    <row r="451" spans="3:11" hidden="1" outlineLevel="2" x14ac:dyDescent="0.3">
      <c r="C451" s="231">
        <v>17</v>
      </c>
      <c r="D451" s="703"/>
      <c r="E451" s="704"/>
      <c r="F451" s="705"/>
      <c r="G451" s="702"/>
      <c r="H451" s="702"/>
      <c r="I451" s="702"/>
      <c r="J451" s="145"/>
      <c r="K451" s="17" t="str">
        <f t="shared" si="9"/>
        <v/>
      </c>
    </row>
    <row r="452" spans="3:11" hidden="1" outlineLevel="2" x14ac:dyDescent="0.3">
      <c r="C452" s="231">
        <v>18</v>
      </c>
      <c r="D452" s="703"/>
      <c r="E452" s="704"/>
      <c r="F452" s="705"/>
      <c r="G452" s="702"/>
      <c r="H452" s="702"/>
      <c r="I452" s="702"/>
      <c r="J452" s="145"/>
      <c r="K452" s="17" t="str">
        <f t="shared" si="9"/>
        <v/>
      </c>
    </row>
    <row r="453" spans="3:11" hidden="1" outlineLevel="2" x14ac:dyDescent="0.3">
      <c r="C453" s="231">
        <v>19</v>
      </c>
      <c r="D453" s="703"/>
      <c r="E453" s="704"/>
      <c r="F453" s="705"/>
      <c r="G453" s="702"/>
      <c r="H453" s="702"/>
      <c r="I453" s="702"/>
      <c r="J453" s="145"/>
      <c r="K453" s="17" t="str">
        <f t="shared" si="9"/>
        <v/>
      </c>
    </row>
    <row r="454" spans="3:11" hidden="1" outlineLevel="2" x14ac:dyDescent="0.3">
      <c r="C454" s="231">
        <v>20</v>
      </c>
      <c r="D454" s="703"/>
      <c r="E454" s="704"/>
      <c r="F454" s="705"/>
      <c r="G454" s="702"/>
      <c r="H454" s="702"/>
      <c r="I454" s="702"/>
      <c r="J454" s="145"/>
      <c r="K454" s="17" t="str">
        <f t="shared" si="9"/>
        <v/>
      </c>
    </row>
    <row r="455" spans="3:11" hidden="1" outlineLevel="2" x14ac:dyDescent="0.3">
      <c r="C455" s="231">
        <v>21</v>
      </c>
      <c r="D455" s="703"/>
      <c r="E455" s="704"/>
      <c r="F455" s="705"/>
      <c r="G455" s="702"/>
      <c r="H455" s="702"/>
      <c r="I455" s="702"/>
      <c r="J455" s="145"/>
      <c r="K455" s="17" t="str">
        <f t="shared" si="9"/>
        <v/>
      </c>
    </row>
    <row r="456" spans="3:11" hidden="1" outlineLevel="2" x14ac:dyDescent="0.3">
      <c r="C456" s="231">
        <v>22</v>
      </c>
      <c r="D456" s="703"/>
      <c r="E456" s="704"/>
      <c r="F456" s="705"/>
      <c r="G456" s="702"/>
      <c r="H456" s="702"/>
      <c r="I456" s="702"/>
      <c r="J456" s="145"/>
      <c r="K456" s="17" t="str">
        <f t="shared" si="9"/>
        <v/>
      </c>
    </row>
    <row r="457" spans="3:11" hidden="1" outlineLevel="2" x14ac:dyDescent="0.3">
      <c r="C457" s="231">
        <v>23</v>
      </c>
      <c r="D457" s="703"/>
      <c r="E457" s="704"/>
      <c r="F457" s="705"/>
      <c r="G457" s="702"/>
      <c r="H457" s="702"/>
      <c r="I457" s="702"/>
      <c r="J457" s="145"/>
      <c r="K457" s="17" t="str">
        <f t="shared" si="9"/>
        <v/>
      </c>
    </row>
    <row r="458" spans="3:11" hidden="1" outlineLevel="2" x14ac:dyDescent="0.3">
      <c r="C458" s="231">
        <v>24</v>
      </c>
      <c r="D458" s="703"/>
      <c r="E458" s="704"/>
      <c r="F458" s="705"/>
      <c r="G458" s="702"/>
      <c r="H458" s="702"/>
      <c r="I458" s="702"/>
      <c r="J458" s="145"/>
      <c r="K458" s="17" t="str">
        <f t="shared" si="9"/>
        <v/>
      </c>
    </row>
    <row r="459" spans="3:11" hidden="1" outlineLevel="2" x14ac:dyDescent="0.3">
      <c r="C459" s="231">
        <v>25</v>
      </c>
      <c r="D459" s="703"/>
      <c r="E459" s="704"/>
      <c r="F459" s="705"/>
      <c r="G459" s="702"/>
      <c r="H459" s="702"/>
      <c r="I459" s="702"/>
      <c r="J459" s="145"/>
      <c r="K459" s="17" t="str">
        <f t="shared" si="9"/>
        <v/>
      </c>
    </row>
    <row r="460" spans="3:11" hidden="1" outlineLevel="2" x14ac:dyDescent="0.3">
      <c r="C460" s="231">
        <v>26</v>
      </c>
      <c r="D460" s="703"/>
      <c r="E460" s="704"/>
      <c r="F460" s="705"/>
      <c r="G460" s="702"/>
      <c r="H460" s="702"/>
      <c r="I460" s="702"/>
      <c r="J460" s="145"/>
      <c r="K460" s="17" t="str">
        <f t="shared" si="9"/>
        <v/>
      </c>
    </row>
    <row r="461" spans="3:11" hidden="1" outlineLevel="2" x14ac:dyDescent="0.3">
      <c r="C461" s="231">
        <v>27</v>
      </c>
      <c r="D461" s="703"/>
      <c r="E461" s="704"/>
      <c r="F461" s="705"/>
      <c r="G461" s="702"/>
      <c r="H461" s="702"/>
      <c r="I461" s="702"/>
      <c r="J461" s="145"/>
      <c r="K461" s="17" t="str">
        <f t="shared" si="9"/>
        <v/>
      </c>
    </row>
    <row r="462" spans="3:11" hidden="1" outlineLevel="2" x14ac:dyDescent="0.3">
      <c r="C462" s="231">
        <v>28</v>
      </c>
      <c r="D462" s="703"/>
      <c r="E462" s="704"/>
      <c r="F462" s="705"/>
      <c r="G462" s="702"/>
      <c r="H462" s="702"/>
      <c r="I462" s="702"/>
      <c r="J462" s="145"/>
      <c r="K462" s="17" t="str">
        <f t="shared" si="9"/>
        <v/>
      </c>
    </row>
    <row r="463" spans="3:11" hidden="1" outlineLevel="2" x14ac:dyDescent="0.3">
      <c r="C463" s="231">
        <v>29</v>
      </c>
      <c r="D463" s="703"/>
      <c r="E463" s="704"/>
      <c r="F463" s="705"/>
      <c r="G463" s="702"/>
      <c r="H463" s="702"/>
      <c r="I463" s="702"/>
      <c r="J463" s="145"/>
      <c r="K463" s="17" t="str">
        <f t="shared" si="9"/>
        <v/>
      </c>
    </row>
    <row r="464" spans="3:11" hidden="1" outlineLevel="2" x14ac:dyDescent="0.3">
      <c r="C464" s="231">
        <v>30</v>
      </c>
      <c r="D464" s="703"/>
      <c r="E464" s="704"/>
      <c r="F464" s="705"/>
      <c r="G464" s="702"/>
      <c r="H464" s="702"/>
      <c r="I464" s="702"/>
      <c r="J464" s="145"/>
      <c r="K464" s="17" t="str">
        <f t="shared" si="9"/>
        <v/>
      </c>
    </row>
    <row r="465" spans="3:11" hidden="1" outlineLevel="2" x14ac:dyDescent="0.3">
      <c r="C465" s="231">
        <v>31</v>
      </c>
      <c r="D465" s="703"/>
      <c r="E465" s="704"/>
      <c r="F465" s="705"/>
      <c r="G465" s="702"/>
      <c r="H465" s="702"/>
      <c r="I465" s="702"/>
      <c r="J465" s="145"/>
      <c r="K465" s="17" t="str">
        <f t="shared" si="9"/>
        <v/>
      </c>
    </row>
    <row r="466" spans="3:11" hidden="1" outlineLevel="2" x14ac:dyDescent="0.3">
      <c r="C466" s="231">
        <v>32</v>
      </c>
      <c r="D466" s="703"/>
      <c r="E466" s="704"/>
      <c r="F466" s="705"/>
      <c r="G466" s="702"/>
      <c r="H466" s="702"/>
      <c r="I466" s="702"/>
      <c r="J466" s="145"/>
      <c r="K466" s="17" t="str">
        <f t="shared" si="9"/>
        <v/>
      </c>
    </row>
    <row r="467" spans="3:11" hidden="1" outlineLevel="2" x14ac:dyDescent="0.3">
      <c r="C467" s="231">
        <v>33</v>
      </c>
      <c r="D467" s="703"/>
      <c r="E467" s="704"/>
      <c r="F467" s="705"/>
      <c r="G467" s="702"/>
      <c r="H467" s="702"/>
      <c r="I467" s="702"/>
      <c r="J467" s="145"/>
      <c r="K467" s="17" t="str">
        <f t="shared" si="9"/>
        <v/>
      </c>
    </row>
    <row r="468" spans="3:11" hidden="1" outlineLevel="2" x14ac:dyDescent="0.3">
      <c r="C468" s="231">
        <v>34</v>
      </c>
      <c r="D468" s="703"/>
      <c r="E468" s="704"/>
      <c r="F468" s="705"/>
      <c r="G468" s="702"/>
      <c r="H468" s="702"/>
      <c r="I468" s="702"/>
      <c r="J468" s="145"/>
      <c r="K468" s="17" t="str">
        <f t="shared" si="9"/>
        <v/>
      </c>
    </row>
    <row r="469" spans="3:11" hidden="1" outlineLevel="2" x14ac:dyDescent="0.3">
      <c r="C469" s="231">
        <v>35</v>
      </c>
      <c r="D469" s="703"/>
      <c r="E469" s="704"/>
      <c r="F469" s="705"/>
      <c r="G469" s="702"/>
      <c r="H469" s="702"/>
      <c r="I469" s="702"/>
      <c r="J469" s="145"/>
      <c r="K469" s="17" t="str">
        <f t="shared" si="9"/>
        <v/>
      </c>
    </row>
    <row r="470" spans="3:11" hidden="1" outlineLevel="2" x14ac:dyDescent="0.3">
      <c r="C470" s="231">
        <v>36</v>
      </c>
      <c r="D470" s="703"/>
      <c r="E470" s="704"/>
      <c r="F470" s="705"/>
      <c r="G470" s="702"/>
      <c r="H470" s="702"/>
      <c r="I470" s="702"/>
      <c r="J470" s="145"/>
      <c r="K470" s="17" t="str">
        <f t="shared" si="9"/>
        <v/>
      </c>
    </row>
    <row r="471" spans="3:11" hidden="1" outlineLevel="2" x14ac:dyDescent="0.3">
      <c r="C471" s="231">
        <v>37</v>
      </c>
      <c r="D471" s="703"/>
      <c r="E471" s="704"/>
      <c r="F471" s="705"/>
      <c r="G471" s="702"/>
      <c r="H471" s="702"/>
      <c r="I471" s="702"/>
      <c r="J471" s="145"/>
      <c r="K471" s="17" t="str">
        <f t="shared" si="9"/>
        <v/>
      </c>
    </row>
    <row r="472" spans="3:11" hidden="1" outlineLevel="2" x14ac:dyDescent="0.3">
      <c r="C472" s="231">
        <v>38</v>
      </c>
      <c r="D472" s="703"/>
      <c r="E472" s="704"/>
      <c r="F472" s="705"/>
      <c r="G472" s="702"/>
      <c r="H472" s="702"/>
      <c r="I472" s="702"/>
      <c r="J472" s="145"/>
      <c r="K472" s="17" t="str">
        <f t="shared" si="9"/>
        <v/>
      </c>
    </row>
    <row r="473" spans="3:11" hidden="1" outlineLevel="2" x14ac:dyDescent="0.3">
      <c r="C473" s="231">
        <v>39</v>
      </c>
      <c r="D473" s="703"/>
      <c r="E473" s="704"/>
      <c r="F473" s="705"/>
      <c r="G473" s="702"/>
      <c r="H473" s="702"/>
      <c r="I473" s="702"/>
      <c r="J473" s="145"/>
      <c r="K473" s="17" t="str">
        <f t="shared" si="9"/>
        <v/>
      </c>
    </row>
    <row r="474" spans="3:11" hidden="1" outlineLevel="2" x14ac:dyDescent="0.3">
      <c r="C474" s="231">
        <v>40</v>
      </c>
      <c r="D474" s="703"/>
      <c r="E474" s="704"/>
      <c r="F474" s="705"/>
      <c r="G474" s="702"/>
      <c r="H474" s="702"/>
      <c r="I474" s="702"/>
      <c r="J474" s="145"/>
      <c r="K474" s="17" t="str">
        <f t="shared" si="9"/>
        <v/>
      </c>
    </row>
    <row r="475" spans="3:11" hidden="1" outlineLevel="2" x14ac:dyDescent="0.3">
      <c r="C475" s="231">
        <v>41</v>
      </c>
      <c r="D475" s="703"/>
      <c r="E475" s="704"/>
      <c r="F475" s="705"/>
      <c r="G475" s="702"/>
      <c r="H475" s="702"/>
      <c r="I475" s="702"/>
      <c r="J475" s="145"/>
      <c r="K475" s="17" t="str">
        <f t="shared" si="9"/>
        <v/>
      </c>
    </row>
    <row r="476" spans="3:11" hidden="1" outlineLevel="2" x14ac:dyDescent="0.3">
      <c r="C476" s="231">
        <v>42</v>
      </c>
      <c r="D476" s="703"/>
      <c r="E476" s="704"/>
      <c r="F476" s="705"/>
      <c r="G476" s="702"/>
      <c r="H476" s="702"/>
      <c r="I476" s="702"/>
      <c r="J476" s="145"/>
      <c r="K476" s="17" t="str">
        <f t="shared" si="9"/>
        <v/>
      </c>
    </row>
    <row r="477" spans="3:11" hidden="1" outlineLevel="2" x14ac:dyDescent="0.3">
      <c r="C477" s="231">
        <v>43</v>
      </c>
      <c r="D477" s="703"/>
      <c r="E477" s="704"/>
      <c r="F477" s="705"/>
      <c r="G477" s="702"/>
      <c r="H477" s="702"/>
      <c r="I477" s="702"/>
      <c r="J477" s="145"/>
      <c r="K477" s="17" t="str">
        <f t="shared" si="9"/>
        <v/>
      </c>
    </row>
    <row r="478" spans="3:11" hidden="1" outlineLevel="2" x14ac:dyDescent="0.3">
      <c r="C478" s="231">
        <v>44</v>
      </c>
      <c r="D478" s="703"/>
      <c r="E478" s="704"/>
      <c r="F478" s="705"/>
      <c r="G478" s="702"/>
      <c r="H478" s="702"/>
      <c r="I478" s="702"/>
      <c r="J478" s="145"/>
      <c r="K478" s="17" t="str">
        <f t="shared" si="9"/>
        <v/>
      </c>
    </row>
    <row r="479" spans="3:11" hidden="1" outlineLevel="2" x14ac:dyDescent="0.3">
      <c r="C479" s="231">
        <v>45</v>
      </c>
      <c r="D479" s="703"/>
      <c r="E479" s="704"/>
      <c r="F479" s="705"/>
      <c r="G479" s="702"/>
      <c r="H479" s="702"/>
      <c r="I479" s="702"/>
      <c r="J479" s="145"/>
      <c r="K479" s="17" t="str">
        <f t="shared" si="9"/>
        <v/>
      </c>
    </row>
    <row r="480" spans="3:11" hidden="1" outlineLevel="2" x14ac:dyDescent="0.3">
      <c r="C480" s="231">
        <v>46</v>
      </c>
      <c r="D480" s="703"/>
      <c r="E480" s="704"/>
      <c r="F480" s="705"/>
      <c r="G480" s="702"/>
      <c r="H480" s="702"/>
      <c r="I480" s="702"/>
      <c r="J480" s="145"/>
      <c r="K480" s="17" t="str">
        <f t="shared" si="9"/>
        <v/>
      </c>
    </row>
    <row r="481" spans="3:11" hidden="1" outlineLevel="2" x14ac:dyDescent="0.3">
      <c r="C481" s="231">
        <v>47</v>
      </c>
      <c r="D481" s="703"/>
      <c r="E481" s="704"/>
      <c r="F481" s="705"/>
      <c r="G481" s="702"/>
      <c r="H481" s="702"/>
      <c r="I481" s="702"/>
      <c r="J481" s="145"/>
      <c r="K481" s="17" t="str">
        <f t="shared" si="9"/>
        <v/>
      </c>
    </row>
    <row r="482" spans="3:11" hidden="1" outlineLevel="2" x14ac:dyDescent="0.3">
      <c r="C482" s="231">
        <v>48</v>
      </c>
      <c r="D482" s="703"/>
      <c r="E482" s="704"/>
      <c r="F482" s="705"/>
      <c r="G482" s="702"/>
      <c r="H482" s="702"/>
      <c r="I482" s="702"/>
      <c r="J482" s="145"/>
      <c r="K482" s="17" t="str">
        <f t="shared" si="9"/>
        <v/>
      </c>
    </row>
    <row r="483" spans="3:11" hidden="1" outlineLevel="2" x14ac:dyDescent="0.3">
      <c r="C483" s="231">
        <v>49</v>
      </c>
      <c r="D483" s="703"/>
      <c r="E483" s="704"/>
      <c r="F483" s="705"/>
      <c r="G483" s="702"/>
      <c r="H483" s="702"/>
      <c r="I483" s="702"/>
      <c r="J483" s="145"/>
      <c r="K483" s="17" t="str">
        <f t="shared" si="9"/>
        <v/>
      </c>
    </row>
    <row r="484" spans="3:11" hidden="1" outlineLevel="2" x14ac:dyDescent="0.3">
      <c r="C484" s="231">
        <v>50</v>
      </c>
      <c r="D484" s="703"/>
      <c r="E484" s="704"/>
      <c r="F484" s="705"/>
      <c r="G484" s="702"/>
      <c r="H484" s="702"/>
      <c r="I484" s="702"/>
      <c r="J484" s="145"/>
      <c r="K484" s="17" t="str">
        <f t="shared" si="9"/>
        <v/>
      </c>
    </row>
    <row r="485" spans="3:11" hidden="1" outlineLevel="2" x14ac:dyDescent="0.3">
      <c r="C485" s="231">
        <v>51</v>
      </c>
      <c r="D485" s="703"/>
      <c r="E485" s="704"/>
      <c r="F485" s="705"/>
      <c r="G485" s="702"/>
      <c r="H485" s="702"/>
      <c r="I485" s="702"/>
      <c r="J485" s="145"/>
      <c r="K485" s="17" t="str">
        <f t="shared" si="9"/>
        <v/>
      </c>
    </row>
    <row r="486" spans="3:11" hidden="1" outlineLevel="2" x14ac:dyDescent="0.3">
      <c r="C486" s="231">
        <v>52</v>
      </c>
      <c r="D486" s="703"/>
      <c r="E486" s="704"/>
      <c r="F486" s="705"/>
      <c r="G486" s="702"/>
      <c r="H486" s="702"/>
      <c r="I486" s="702"/>
      <c r="J486" s="145"/>
      <c r="K486" s="17" t="str">
        <f t="shared" si="9"/>
        <v/>
      </c>
    </row>
    <row r="487" spans="3:11" hidden="1" outlineLevel="2" x14ac:dyDescent="0.3">
      <c r="C487" s="231">
        <v>53</v>
      </c>
      <c r="D487" s="703"/>
      <c r="E487" s="704"/>
      <c r="F487" s="705"/>
      <c r="G487" s="702"/>
      <c r="H487" s="702"/>
      <c r="I487" s="702"/>
      <c r="J487" s="145"/>
      <c r="K487" s="17" t="str">
        <f t="shared" si="9"/>
        <v/>
      </c>
    </row>
    <row r="488" spans="3:11" hidden="1" outlineLevel="2" x14ac:dyDescent="0.3">
      <c r="C488" s="231">
        <v>54</v>
      </c>
      <c r="D488" s="703"/>
      <c r="E488" s="704"/>
      <c r="F488" s="705"/>
      <c r="G488" s="702"/>
      <c r="H488" s="702"/>
      <c r="I488" s="702"/>
      <c r="J488" s="145"/>
      <c r="K488" s="17" t="str">
        <f t="shared" si="9"/>
        <v/>
      </c>
    </row>
    <row r="489" spans="3:11" hidden="1" outlineLevel="2" x14ac:dyDescent="0.3">
      <c r="C489" s="231">
        <v>55</v>
      </c>
      <c r="D489" s="703"/>
      <c r="E489" s="704"/>
      <c r="F489" s="705"/>
      <c r="G489" s="702"/>
      <c r="H489" s="702"/>
      <c r="I489" s="702"/>
      <c r="J489" s="145"/>
      <c r="K489" s="17" t="str">
        <f t="shared" si="9"/>
        <v/>
      </c>
    </row>
    <row r="490" spans="3:11" hidden="1" outlineLevel="2" x14ac:dyDescent="0.3">
      <c r="C490" s="231">
        <v>56</v>
      </c>
      <c r="D490" s="703"/>
      <c r="E490" s="704"/>
      <c r="F490" s="705"/>
      <c r="G490" s="702"/>
      <c r="H490" s="702"/>
      <c r="I490" s="702"/>
      <c r="J490" s="145"/>
      <c r="K490" s="17" t="str">
        <f t="shared" si="9"/>
        <v/>
      </c>
    </row>
    <row r="491" spans="3:11" hidden="1" outlineLevel="2" x14ac:dyDescent="0.3">
      <c r="C491" s="231">
        <v>57</v>
      </c>
      <c r="D491" s="703"/>
      <c r="E491" s="704"/>
      <c r="F491" s="705"/>
      <c r="G491" s="702"/>
      <c r="H491" s="702"/>
      <c r="I491" s="702"/>
      <c r="J491" s="145"/>
      <c r="K491" s="17" t="str">
        <f t="shared" si="9"/>
        <v/>
      </c>
    </row>
    <row r="492" spans="3:11" hidden="1" outlineLevel="2" x14ac:dyDescent="0.3">
      <c r="C492" s="231">
        <v>58</v>
      </c>
      <c r="D492" s="703"/>
      <c r="E492" s="704"/>
      <c r="F492" s="705"/>
      <c r="G492" s="702"/>
      <c r="H492" s="702"/>
      <c r="I492" s="702"/>
      <c r="J492" s="145"/>
      <c r="K492" s="17" t="str">
        <f t="shared" si="9"/>
        <v/>
      </c>
    </row>
    <row r="493" spans="3:11" hidden="1" outlineLevel="2" x14ac:dyDescent="0.3">
      <c r="C493" s="231">
        <v>59</v>
      </c>
      <c r="D493" s="703"/>
      <c r="E493" s="704"/>
      <c r="F493" s="705"/>
      <c r="G493" s="702"/>
      <c r="H493" s="702"/>
      <c r="I493" s="702"/>
      <c r="J493" s="145"/>
      <c r="K493" s="17" t="str">
        <f t="shared" si="9"/>
        <v/>
      </c>
    </row>
    <row r="494" spans="3:11" hidden="1" outlineLevel="2" x14ac:dyDescent="0.3">
      <c r="C494" s="231">
        <v>60</v>
      </c>
      <c r="D494" s="703"/>
      <c r="E494" s="704"/>
      <c r="F494" s="705"/>
      <c r="G494" s="702"/>
      <c r="H494" s="702"/>
      <c r="I494" s="702"/>
      <c r="J494" s="145"/>
      <c r="K494" s="17" t="str">
        <f t="shared" si="9"/>
        <v/>
      </c>
    </row>
    <row r="495" spans="3:11" hidden="1" outlineLevel="2" x14ac:dyDescent="0.3">
      <c r="C495" s="231">
        <v>61</v>
      </c>
      <c r="D495" s="703"/>
      <c r="E495" s="704"/>
      <c r="F495" s="705"/>
      <c r="G495" s="702"/>
      <c r="H495" s="702"/>
      <c r="I495" s="702"/>
      <c r="J495" s="145"/>
      <c r="K495" s="17" t="str">
        <f t="shared" si="9"/>
        <v/>
      </c>
    </row>
    <row r="496" spans="3:11" hidden="1" outlineLevel="2" x14ac:dyDescent="0.3">
      <c r="C496" s="231">
        <v>62</v>
      </c>
      <c r="D496" s="703"/>
      <c r="E496" s="704"/>
      <c r="F496" s="705"/>
      <c r="G496" s="702"/>
      <c r="H496" s="702"/>
      <c r="I496" s="702"/>
      <c r="J496" s="145"/>
      <c r="K496" s="17" t="str">
        <f t="shared" si="9"/>
        <v/>
      </c>
    </row>
    <row r="497" spans="3:11" hidden="1" outlineLevel="2" x14ac:dyDescent="0.3">
      <c r="C497" s="231">
        <v>63</v>
      </c>
      <c r="D497" s="703"/>
      <c r="E497" s="704"/>
      <c r="F497" s="705"/>
      <c r="G497" s="702"/>
      <c r="H497" s="702"/>
      <c r="I497" s="702"/>
      <c r="J497" s="145"/>
      <c r="K497" s="17" t="str">
        <f t="shared" si="9"/>
        <v/>
      </c>
    </row>
    <row r="498" spans="3:11" hidden="1" outlineLevel="2" x14ac:dyDescent="0.3">
      <c r="C498" s="231">
        <v>64</v>
      </c>
      <c r="D498" s="703"/>
      <c r="E498" s="704"/>
      <c r="F498" s="705"/>
      <c r="G498" s="702"/>
      <c r="H498" s="702"/>
      <c r="I498" s="702"/>
      <c r="J498" s="145"/>
      <c r="K498" s="17" t="str">
        <f t="shared" si="9"/>
        <v/>
      </c>
    </row>
    <row r="499" spans="3:11" hidden="1" outlineLevel="2" x14ac:dyDescent="0.3">
      <c r="C499" s="231">
        <v>65</v>
      </c>
      <c r="D499" s="703"/>
      <c r="E499" s="704"/>
      <c r="F499" s="705"/>
      <c r="G499" s="702"/>
      <c r="H499" s="702"/>
      <c r="I499" s="702"/>
      <c r="J499" s="145"/>
      <c r="K499" s="17" t="str">
        <f t="shared" si="9"/>
        <v/>
      </c>
    </row>
    <row r="500" spans="3:11" hidden="1" outlineLevel="2" x14ac:dyDescent="0.3">
      <c r="C500" s="231">
        <v>66</v>
      </c>
      <c r="D500" s="703"/>
      <c r="E500" s="704"/>
      <c r="F500" s="705"/>
      <c r="G500" s="702"/>
      <c r="H500" s="702"/>
      <c r="I500" s="702"/>
      <c r="J500" s="145"/>
      <c r="K500" s="17" t="str">
        <f t="shared" si="9"/>
        <v/>
      </c>
    </row>
    <row r="501" spans="3:11" hidden="1" outlineLevel="2" x14ac:dyDescent="0.3">
      <c r="C501" s="231">
        <v>67</v>
      </c>
      <c r="D501" s="703"/>
      <c r="E501" s="704"/>
      <c r="F501" s="705"/>
      <c r="G501" s="702"/>
      <c r="H501" s="702"/>
      <c r="I501" s="702"/>
      <c r="J501" s="145"/>
      <c r="K501" s="17" t="str">
        <f t="shared" si="9"/>
        <v/>
      </c>
    </row>
    <row r="502" spans="3:11" hidden="1" outlineLevel="2" x14ac:dyDescent="0.3">
      <c r="C502" s="231">
        <v>68</v>
      </c>
      <c r="D502" s="703"/>
      <c r="E502" s="704"/>
      <c r="F502" s="705"/>
      <c r="G502" s="702"/>
      <c r="H502" s="702"/>
      <c r="I502" s="702"/>
      <c r="J502" s="145"/>
      <c r="K502" s="17" t="str">
        <f t="shared" si="9"/>
        <v/>
      </c>
    </row>
    <row r="503" spans="3:11" hidden="1" outlineLevel="2" x14ac:dyDescent="0.3">
      <c r="C503" s="231">
        <v>69</v>
      </c>
      <c r="D503" s="703"/>
      <c r="E503" s="704"/>
      <c r="F503" s="705"/>
      <c r="G503" s="702"/>
      <c r="H503" s="702"/>
      <c r="I503" s="702"/>
      <c r="J503" s="145"/>
      <c r="K503" s="17" t="str">
        <f t="shared" si="9"/>
        <v/>
      </c>
    </row>
    <row r="504" spans="3:11" hidden="1" outlineLevel="2" x14ac:dyDescent="0.3">
      <c r="C504" s="231">
        <v>70</v>
      </c>
      <c r="D504" s="703"/>
      <c r="E504" s="704"/>
      <c r="F504" s="705"/>
      <c r="G504" s="702"/>
      <c r="H504" s="702"/>
      <c r="I504" s="702"/>
      <c r="J504" s="145"/>
      <c r="K504" s="17" t="str">
        <f t="shared" si="9"/>
        <v/>
      </c>
    </row>
    <row r="505" spans="3:11" hidden="1" outlineLevel="2" x14ac:dyDescent="0.3">
      <c r="C505" s="231">
        <v>71</v>
      </c>
      <c r="D505" s="703"/>
      <c r="E505" s="704"/>
      <c r="F505" s="705"/>
      <c r="G505" s="702"/>
      <c r="H505" s="702"/>
      <c r="I505" s="702"/>
      <c r="J505" s="145"/>
      <c r="K505" s="17" t="str">
        <f t="shared" si="9"/>
        <v/>
      </c>
    </row>
    <row r="506" spans="3:11" hidden="1" outlineLevel="2" x14ac:dyDescent="0.3">
      <c r="C506" s="231">
        <v>72</v>
      </c>
      <c r="D506" s="703"/>
      <c r="E506" s="704"/>
      <c r="F506" s="705"/>
      <c r="G506" s="702"/>
      <c r="H506" s="702"/>
      <c r="I506" s="702"/>
      <c r="J506" s="145"/>
      <c r="K506" s="17" t="str">
        <f t="shared" si="9"/>
        <v/>
      </c>
    </row>
    <row r="507" spans="3:11" hidden="1" outlineLevel="2" x14ac:dyDescent="0.3">
      <c r="C507" s="231">
        <v>73</v>
      </c>
      <c r="D507" s="703"/>
      <c r="E507" s="704"/>
      <c r="F507" s="705"/>
      <c r="G507" s="702"/>
      <c r="H507" s="702"/>
      <c r="I507" s="702"/>
      <c r="J507" s="145"/>
      <c r="K507" s="17" t="str">
        <f t="shared" si="9"/>
        <v/>
      </c>
    </row>
    <row r="508" spans="3:11" hidden="1" outlineLevel="2" x14ac:dyDescent="0.3">
      <c r="C508" s="231">
        <v>74</v>
      </c>
      <c r="D508" s="703"/>
      <c r="E508" s="704"/>
      <c r="F508" s="705"/>
      <c r="G508" s="702"/>
      <c r="H508" s="702"/>
      <c r="I508" s="702"/>
      <c r="J508" s="145"/>
      <c r="K508" s="17" t="str">
        <f t="shared" si="9"/>
        <v/>
      </c>
    </row>
    <row r="509" spans="3:11" hidden="1" outlineLevel="2" x14ac:dyDescent="0.3">
      <c r="C509" s="231">
        <v>75</v>
      </c>
      <c r="D509" s="703"/>
      <c r="E509" s="704"/>
      <c r="F509" s="705"/>
      <c r="G509" s="702"/>
      <c r="H509" s="702"/>
      <c r="I509" s="702"/>
      <c r="J509" s="145"/>
      <c r="K509" s="17" t="str">
        <f t="shared" si="9"/>
        <v/>
      </c>
    </row>
    <row r="510" spans="3:11" hidden="1" outlineLevel="2" x14ac:dyDescent="0.3">
      <c r="C510" s="231">
        <v>76</v>
      </c>
      <c r="D510" s="703"/>
      <c r="E510" s="704"/>
      <c r="F510" s="705"/>
      <c r="G510" s="702"/>
      <c r="H510" s="702"/>
      <c r="I510" s="702"/>
      <c r="J510" s="145"/>
      <c r="K510" s="17" t="str">
        <f t="shared" si="9"/>
        <v/>
      </c>
    </row>
    <row r="511" spans="3:11" hidden="1" outlineLevel="2" x14ac:dyDescent="0.3">
      <c r="C511" s="231">
        <v>77</v>
      </c>
      <c r="D511" s="703"/>
      <c r="E511" s="704"/>
      <c r="F511" s="705"/>
      <c r="G511" s="702"/>
      <c r="H511" s="702"/>
      <c r="I511" s="702"/>
      <c r="J511" s="145"/>
      <c r="K511" s="17" t="str">
        <f t="shared" si="9"/>
        <v/>
      </c>
    </row>
    <row r="512" spans="3:11" hidden="1" outlineLevel="2" x14ac:dyDescent="0.3">
      <c r="C512" s="231">
        <v>78</v>
      </c>
      <c r="D512" s="703"/>
      <c r="E512" s="704"/>
      <c r="F512" s="705"/>
      <c r="G512" s="702"/>
      <c r="H512" s="702"/>
      <c r="I512" s="702"/>
      <c r="J512" s="145"/>
      <c r="K512" s="17" t="str">
        <f t="shared" si="9"/>
        <v/>
      </c>
    </row>
    <row r="513" spans="3:11" hidden="1" outlineLevel="2" x14ac:dyDescent="0.3">
      <c r="C513" s="231">
        <v>79</v>
      </c>
      <c r="D513" s="703"/>
      <c r="E513" s="704"/>
      <c r="F513" s="705"/>
      <c r="G513" s="702"/>
      <c r="H513" s="702"/>
      <c r="I513" s="702"/>
      <c r="J513" s="145"/>
      <c r="K513" s="17" t="str">
        <f t="shared" si="9"/>
        <v/>
      </c>
    </row>
    <row r="514" spans="3:11" hidden="1" outlineLevel="2" x14ac:dyDescent="0.3">
      <c r="C514" s="231">
        <v>80</v>
      </c>
      <c r="D514" s="703"/>
      <c r="E514" s="704"/>
      <c r="F514" s="705"/>
      <c r="G514" s="702"/>
      <c r="H514" s="702"/>
      <c r="I514" s="702"/>
      <c r="J514" s="145"/>
      <c r="K514" s="17" t="str">
        <f t="shared" si="9"/>
        <v/>
      </c>
    </row>
    <row r="515" spans="3:11" hidden="1" outlineLevel="2" x14ac:dyDescent="0.3">
      <c r="C515" s="231">
        <v>81</v>
      </c>
      <c r="D515" s="703"/>
      <c r="E515" s="704"/>
      <c r="F515" s="705"/>
      <c r="G515" s="702"/>
      <c r="H515" s="702"/>
      <c r="I515" s="702"/>
      <c r="J515" s="145"/>
      <c r="K515" s="17" t="str">
        <f t="shared" si="9"/>
        <v/>
      </c>
    </row>
    <row r="516" spans="3:11" hidden="1" outlineLevel="2" x14ac:dyDescent="0.3">
      <c r="C516" s="231">
        <v>82</v>
      </c>
      <c r="D516" s="703"/>
      <c r="E516" s="704"/>
      <c r="F516" s="705"/>
      <c r="G516" s="702"/>
      <c r="H516" s="702"/>
      <c r="I516" s="702"/>
      <c r="J516" s="145"/>
      <c r="K516" s="17" t="str">
        <f t="shared" si="9"/>
        <v/>
      </c>
    </row>
    <row r="517" spans="3:11" hidden="1" outlineLevel="2" x14ac:dyDescent="0.3">
      <c r="C517" s="231">
        <v>83</v>
      </c>
      <c r="D517" s="703"/>
      <c r="E517" s="704"/>
      <c r="F517" s="705"/>
      <c r="G517" s="702"/>
      <c r="H517" s="702"/>
      <c r="I517" s="702"/>
      <c r="J517" s="145"/>
      <c r="K517" s="17" t="str">
        <f t="shared" si="9"/>
        <v/>
      </c>
    </row>
    <row r="518" spans="3:11" hidden="1" outlineLevel="2" x14ac:dyDescent="0.3">
      <c r="C518" s="231">
        <v>84</v>
      </c>
      <c r="D518" s="703"/>
      <c r="E518" s="704"/>
      <c r="F518" s="705"/>
      <c r="G518" s="702"/>
      <c r="H518" s="702"/>
      <c r="I518" s="702"/>
      <c r="J518" s="145"/>
      <c r="K518" s="17" t="str">
        <f t="shared" si="9"/>
        <v/>
      </c>
    </row>
    <row r="519" spans="3:11" hidden="1" outlineLevel="2" x14ac:dyDescent="0.3">
      <c r="C519" s="231">
        <v>85</v>
      </c>
      <c r="D519" s="703"/>
      <c r="E519" s="704"/>
      <c r="F519" s="705"/>
      <c r="G519" s="702"/>
      <c r="H519" s="702"/>
      <c r="I519" s="702"/>
      <c r="J519" s="145"/>
      <c r="K519" s="17" t="str">
        <f t="shared" si="9"/>
        <v/>
      </c>
    </row>
    <row r="520" spans="3:11" hidden="1" outlineLevel="2" x14ac:dyDescent="0.3">
      <c r="C520" s="231">
        <v>86</v>
      </c>
      <c r="D520" s="703"/>
      <c r="E520" s="704"/>
      <c r="F520" s="705"/>
      <c r="G520" s="702"/>
      <c r="H520" s="702"/>
      <c r="I520" s="702"/>
      <c r="J520" s="145"/>
      <c r="K520" s="17" t="str">
        <f t="shared" si="9"/>
        <v/>
      </c>
    </row>
    <row r="521" spans="3:11" hidden="1" outlineLevel="2" x14ac:dyDescent="0.3">
      <c r="C521" s="231">
        <v>87</v>
      </c>
      <c r="D521" s="703"/>
      <c r="E521" s="704"/>
      <c r="F521" s="705"/>
      <c r="G521" s="702"/>
      <c r="H521" s="702"/>
      <c r="I521" s="702"/>
      <c r="J521" s="145"/>
      <c r="K521" s="17" t="str">
        <f t="shared" si="9"/>
        <v/>
      </c>
    </row>
    <row r="522" spans="3:11" hidden="1" outlineLevel="2" x14ac:dyDescent="0.3">
      <c r="C522" s="231">
        <v>88</v>
      </c>
      <c r="D522" s="703"/>
      <c r="E522" s="704"/>
      <c r="F522" s="705"/>
      <c r="G522" s="702"/>
      <c r="H522" s="702"/>
      <c r="I522" s="702"/>
      <c r="J522" s="145"/>
      <c r="K522" s="17" t="str">
        <f t="shared" si="9"/>
        <v/>
      </c>
    </row>
    <row r="523" spans="3:11" hidden="1" outlineLevel="2" x14ac:dyDescent="0.3">
      <c r="C523" s="231">
        <v>89</v>
      </c>
      <c r="D523" s="703"/>
      <c r="E523" s="704"/>
      <c r="F523" s="705"/>
      <c r="G523" s="702"/>
      <c r="H523" s="702"/>
      <c r="I523" s="702"/>
      <c r="J523" s="145"/>
      <c r="K523" s="17" t="str">
        <f t="shared" si="9"/>
        <v/>
      </c>
    </row>
    <row r="524" spans="3:11" hidden="1" outlineLevel="2" x14ac:dyDescent="0.3">
      <c r="C524" s="231">
        <v>90</v>
      </c>
      <c r="D524" s="703"/>
      <c r="E524" s="704"/>
      <c r="F524" s="705"/>
      <c r="G524" s="702"/>
      <c r="H524" s="702"/>
      <c r="I524" s="702"/>
      <c r="J524" s="145"/>
      <c r="K524" s="17" t="str">
        <f t="shared" si="9"/>
        <v/>
      </c>
    </row>
    <row r="525" spans="3:11" hidden="1" outlineLevel="2" x14ac:dyDescent="0.3">
      <c r="C525" s="231">
        <v>91</v>
      </c>
      <c r="D525" s="703"/>
      <c r="E525" s="704"/>
      <c r="F525" s="705"/>
      <c r="G525" s="702"/>
      <c r="H525" s="702"/>
      <c r="I525" s="702"/>
      <c r="J525" s="145"/>
      <c r="K525" s="17" t="str">
        <f t="shared" si="9"/>
        <v/>
      </c>
    </row>
    <row r="526" spans="3:11" hidden="1" outlineLevel="2" x14ac:dyDescent="0.3">
      <c r="C526" s="231">
        <v>92</v>
      </c>
      <c r="D526" s="703"/>
      <c r="E526" s="704"/>
      <c r="F526" s="705"/>
      <c r="G526" s="702"/>
      <c r="H526" s="702"/>
      <c r="I526" s="702"/>
      <c r="J526" s="145"/>
      <c r="K526" s="17" t="str">
        <f t="shared" si="9"/>
        <v/>
      </c>
    </row>
    <row r="527" spans="3:11" hidden="1" outlineLevel="2" x14ac:dyDescent="0.3">
      <c r="C527" s="231">
        <v>93</v>
      </c>
      <c r="D527" s="703"/>
      <c r="E527" s="704"/>
      <c r="F527" s="705"/>
      <c r="G527" s="702"/>
      <c r="H527" s="702"/>
      <c r="I527" s="702"/>
      <c r="J527" s="145"/>
      <c r="K527" s="17" t="str">
        <f t="shared" si="9"/>
        <v/>
      </c>
    </row>
    <row r="528" spans="3:11" hidden="1" outlineLevel="2" x14ac:dyDescent="0.3">
      <c r="C528" s="231">
        <v>94</v>
      </c>
      <c r="D528" s="703"/>
      <c r="E528" s="704"/>
      <c r="F528" s="705"/>
      <c r="G528" s="702"/>
      <c r="H528" s="702"/>
      <c r="I528" s="702"/>
      <c r="J528" s="145"/>
      <c r="K528" s="17" t="str">
        <f t="shared" si="9"/>
        <v/>
      </c>
    </row>
    <row r="529" spans="1:12" hidden="1" outlineLevel="2" x14ac:dyDescent="0.3">
      <c r="C529" s="231">
        <v>95</v>
      </c>
      <c r="D529" s="703"/>
      <c r="E529" s="704"/>
      <c r="F529" s="705"/>
      <c r="G529" s="702"/>
      <c r="H529" s="702"/>
      <c r="I529" s="702"/>
      <c r="J529" s="145"/>
      <c r="K529" s="17" t="str">
        <f t="shared" si="9"/>
        <v/>
      </c>
    </row>
    <row r="530" spans="1:12" hidden="1" outlineLevel="2" x14ac:dyDescent="0.3">
      <c r="C530" s="231">
        <v>96</v>
      </c>
      <c r="D530" s="703"/>
      <c r="E530" s="704"/>
      <c r="F530" s="705"/>
      <c r="G530" s="702"/>
      <c r="H530" s="702"/>
      <c r="I530" s="702"/>
      <c r="J530" s="145"/>
      <c r="K530" s="17" t="str">
        <f t="shared" si="9"/>
        <v/>
      </c>
    </row>
    <row r="531" spans="1:12" hidden="1" outlineLevel="2" x14ac:dyDescent="0.3">
      <c r="C531" s="231">
        <v>97</v>
      </c>
      <c r="D531" s="703"/>
      <c r="E531" s="704"/>
      <c r="F531" s="705"/>
      <c r="G531" s="702"/>
      <c r="H531" s="702"/>
      <c r="I531" s="702"/>
      <c r="J531" s="145"/>
      <c r="K531" s="17" t="str">
        <f t="shared" si="9"/>
        <v/>
      </c>
    </row>
    <row r="532" spans="1:12" hidden="1" outlineLevel="2" x14ac:dyDescent="0.3">
      <c r="C532" s="231">
        <v>98</v>
      </c>
      <c r="D532" s="703"/>
      <c r="E532" s="704"/>
      <c r="F532" s="705"/>
      <c r="G532" s="702"/>
      <c r="H532" s="702"/>
      <c r="I532" s="702"/>
      <c r="J532" s="145"/>
      <c r="K532" s="17" t="str">
        <f t="shared" si="9"/>
        <v/>
      </c>
    </row>
    <row r="533" spans="1:12" hidden="1" outlineLevel="2" x14ac:dyDescent="0.3">
      <c r="C533" s="231">
        <v>99</v>
      </c>
      <c r="D533" s="703"/>
      <c r="E533" s="704"/>
      <c r="F533" s="705"/>
      <c r="G533" s="740"/>
      <c r="H533" s="741"/>
      <c r="I533" s="760"/>
      <c r="J533" s="145"/>
      <c r="K533" s="17" t="str">
        <f t="shared" si="9"/>
        <v/>
      </c>
    </row>
    <row r="534" spans="1:12" hidden="1" outlineLevel="2" x14ac:dyDescent="0.3">
      <c r="C534" s="231">
        <v>100</v>
      </c>
      <c r="D534" s="703"/>
      <c r="E534" s="704"/>
      <c r="F534" s="705"/>
      <c r="G534" s="740"/>
      <c r="H534" s="741"/>
      <c r="I534" s="760"/>
      <c r="J534" s="145"/>
      <c r="K534" s="17" t="str">
        <f t="shared" si="9"/>
        <v/>
      </c>
    </row>
    <row r="535" spans="1:12" collapsed="1" x14ac:dyDescent="0.3">
      <c r="C535" s="842" t="str">
        <f>template_label_total_annual_mass_flow_of_relevant_materials_used_mass</f>
        <v>Total annual mass-flow of relevant materials used (mass in kg)</v>
      </c>
      <c r="D535" s="843"/>
      <c r="E535" s="843"/>
      <c r="F535" s="843"/>
      <c r="G535" s="855">
        <f>IF(AND(G435="",G436="",J435="",J436="",G437="",J437=""),"-",(SUMIF($J$435:$J$534,"kilograms (kg)",$G$435:$G$534))+((SUMIF($J$435:$J$534,"metric tonnes (t)",$G$435:$G$534))*1000))</f>
        <v>1500</v>
      </c>
      <c r="H535" s="855"/>
      <c r="I535" s="855"/>
      <c r="J535" s="143" t="str">
        <f>template_label_kilograms</f>
        <v>kilograms (kg)</v>
      </c>
    </row>
    <row r="536" spans="1:12" ht="15" thickBot="1" x14ac:dyDescent="0.35">
      <c r="C536" s="840" t="str">
        <f>template_label_total_annual_mass_flow_of_relevant_materials_used_volume</f>
        <v>Total annual mass-flow of relevant materials used (volume in m³)</v>
      </c>
      <c r="D536" s="841"/>
      <c r="E536" s="841"/>
      <c r="F536" s="841"/>
      <c r="G536" s="739">
        <f>IF(AND(G435="",G436="",J435="",J436="",G437="",J437=""),"-",SUMIF(J435:J534, "cubic meters (m3)", G435:G534))</f>
        <v>800</v>
      </c>
      <c r="H536" s="739"/>
      <c r="I536" s="739"/>
      <c r="J536" s="141" t="str">
        <f>template_label_cubic_meters</f>
        <v>cubic meters (m³)</v>
      </c>
      <c r="K536" s="17"/>
    </row>
    <row r="537" spans="1:12" ht="15" thickBot="1" x14ac:dyDescent="0.35">
      <c r="D537" s="12"/>
      <c r="E537" s="12"/>
      <c r="F537" s="12"/>
      <c r="G537" s="12"/>
      <c r="H537" s="12"/>
      <c r="I537" s="12"/>
      <c r="J537" s="12"/>
    </row>
    <row r="538" spans="1:12" x14ac:dyDescent="0.3">
      <c r="C538" s="845" t="str">
        <f>template_label_c4_climate_risks&amp;" "&amp;template_label_from&amp;" "&amp;template_starting_date_display&amp;" "&amp;template_label_to&amp;" "&amp;template_ending_date_display&amp;" "&amp;template_label_if_applicable</f>
        <v>C4 – Climate risks from 2024-01-01 to 2024-12-31 [If applicable]</v>
      </c>
      <c r="D538" s="846"/>
      <c r="E538" s="846"/>
      <c r="F538" s="846"/>
      <c r="G538" s="846"/>
      <c r="H538" s="846"/>
      <c r="I538" s="846"/>
      <c r="J538" s="846"/>
      <c r="K538" s="847"/>
    </row>
    <row r="539" spans="1:12" ht="39.6" customHeight="1" x14ac:dyDescent="0.3">
      <c r="C539" s="675" t="str">
        <f>template_label_has_the_undertaking_identified_climate_related_hazards_and_climate_related_transition_events</f>
        <v>Has the undertaking identified climate-related hazards and climate-related transition events creating gross climate-related risks for the undertaking?</v>
      </c>
      <c r="D539" s="851"/>
      <c r="E539" s="852" t="b">
        <v>1</v>
      </c>
      <c r="F539" s="853"/>
      <c r="G539" s="853"/>
      <c r="H539" s="853"/>
      <c r="I539" s="853"/>
      <c r="J539" s="853"/>
      <c r="K539" s="854"/>
    </row>
    <row r="540" spans="1:12" x14ac:dyDescent="0.3">
      <c r="A540" s="441" t="s">
        <v>3750</v>
      </c>
      <c r="B540" s="441" t="s">
        <v>5654</v>
      </c>
      <c r="C540" s="649" t="str">
        <f>template_label_description_of_climate_related_hazards_and_climate_related_transition_events</f>
        <v>Description of climate-related hazards and climate-related transition events</v>
      </c>
      <c r="D540" s="649"/>
      <c r="E540" s="693" t="s">
        <v>9550</v>
      </c>
      <c r="F540" s="694"/>
      <c r="G540" s="694"/>
      <c r="H540" s="694"/>
      <c r="I540" s="694"/>
      <c r="J540" s="694"/>
      <c r="K540" s="695"/>
      <c r="L540" s="16" t="str">
        <f>IF(AND($E$539=TRUE,E540&lt;&gt;""),
    template_label_ok,
    IF(AND($E$539=TRUE,G540=""),
        template_label_missing_value,
        ""
    )
)</f>
        <v>OK</v>
      </c>
    </row>
    <row r="541" spans="1:12" x14ac:dyDescent="0.3">
      <c r="A541" s="441" t="s">
        <v>3751</v>
      </c>
      <c r="B541" s="441" t="s">
        <v>5654</v>
      </c>
      <c r="C541" s="649" t="str">
        <f>template_label_disclosure_of_how_it_has_assessed_the_exposure_and_sensitivity_of_its_assets</f>
        <v>Disclosure of how it has assessed the exposure and sensitivity of its assets activities and value chain to these hazards and transition events</v>
      </c>
      <c r="D541" s="649"/>
      <c r="E541" s="693" t="s">
        <v>9550</v>
      </c>
      <c r="F541" s="694"/>
      <c r="G541" s="694"/>
      <c r="H541" s="694"/>
      <c r="I541" s="694"/>
      <c r="J541" s="694"/>
      <c r="K541" s="695"/>
      <c r="L541" s="16" t="str">
        <f>IF(AND($E$539=TRUE,E541&lt;&gt;""),
    template_label_ok,
    IF(AND($E$539=TRUE,G541=""),
        template_label_missing_value,
        ""
    )
)</f>
        <v>OK</v>
      </c>
    </row>
    <row r="542" spans="1:12" x14ac:dyDescent="0.3">
      <c r="A542" s="441" t="s">
        <v>3752</v>
      </c>
      <c r="B542" s="441" t="s">
        <v>5654</v>
      </c>
      <c r="C542" s="649" t="str">
        <f>template_label_time_horizons_of_any_climate_related_hazards_and_transition_events_identified</f>
        <v>Time horizons of any climate-related hazards and transition events identified</v>
      </c>
      <c r="D542" s="649"/>
      <c r="E542" s="693" t="s">
        <v>9550</v>
      </c>
      <c r="F542" s="694"/>
      <c r="G542" s="694"/>
      <c r="H542" s="694"/>
      <c r="I542" s="694"/>
      <c r="J542" s="694"/>
      <c r="K542" s="695"/>
      <c r="L542" s="16" t="str">
        <f>IF(AND($E$539=TRUE,E542&lt;&gt;""),
    template_label_ok,
    IF(AND($E$539=TRUE,G542=""),
        template_label_missing_value,
        ""
    )
)</f>
        <v>OK</v>
      </c>
    </row>
    <row r="543" spans="1:12" ht="27" customHeight="1" x14ac:dyDescent="0.3">
      <c r="A543" s="441" t="s">
        <v>3753</v>
      </c>
      <c r="B543" s="441" t="s">
        <v>5654</v>
      </c>
      <c r="C543" s="649" t="str">
        <f>template_label_disclosure_of_whether_it_has_undertaken_climate_change_adaptation_actions</f>
        <v>Disclosure of whether it has undertaken climate change adaptation actions for any climate-related hazards and transition events</v>
      </c>
      <c r="D543" s="649"/>
      <c r="E543" s="848" t="s">
        <v>2907</v>
      </c>
      <c r="F543" s="849"/>
      <c r="G543" s="849"/>
      <c r="H543" s="849"/>
      <c r="I543" s="849"/>
      <c r="J543" s="849"/>
      <c r="K543" s="850"/>
      <c r="L543" s="16" t="str">
        <f>IF(AND($E$539=TRUE,E543&lt;&gt;""),
    template_label_ok,
    IF(AND($E$539=TRUE,G543=""),
        template_label_missing_value,
        ""
    )
)</f>
        <v>OK</v>
      </c>
    </row>
    <row r="544" spans="1:12" ht="29.4" customHeight="1" thickBot="1" x14ac:dyDescent="0.35">
      <c r="A544" s="441">
        <v>58</v>
      </c>
      <c r="B544" s="441" t="s">
        <v>5654</v>
      </c>
      <c r="C544" s="589"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544" s="589"/>
      <c r="E544" s="696"/>
      <c r="F544" s="697"/>
      <c r="G544" s="697"/>
      <c r="H544" s="697"/>
      <c r="I544" s="697"/>
      <c r="J544" s="697"/>
      <c r="K544" s="698"/>
      <c r="L544" s="16" t="str">
        <f>IF(AND($E$539=TRUE,E544&lt;&gt;""),
    template_label_ok,
    ""
)</f>
        <v/>
      </c>
    </row>
    <row r="545" spans="3:13" ht="15" thickBot="1" x14ac:dyDescent="0.35"/>
    <row r="546" spans="3:13" x14ac:dyDescent="0.3">
      <c r="C546" s="577"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 or entity specific environmental disclosures from 2024-01-01 to 2024-12-31 [May (optional)]</v>
      </c>
      <c r="D546" s="578"/>
      <c r="E546" s="578"/>
      <c r="F546" s="578"/>
      <c r="G546" s="578"/>
      <c r="H546" s="578"/>
      <c r="I546" s="578"/>
      <c r="J546" s="578"/>
      <c r="K546" s="578"/>
      <c r="L546" s="579"/>
    </row>
    <row r="547" spans="3:13" x14ac:dyDescent="0.3">
      <c r="C547" s="553">
        <v>10</v>
      </c>
      <c r="D547" s="554"/>
      <c r="E547" s="554"/>
      <c r="F547" s="554"/>
      <c r="G547" s="554"/>
      <c r="H547" s="554"/>
      <c r="I547" s="554"/>
      <c r="J547" s="554"/>
      <c r="K547" s="554"/>
      <c r="L547" s="555"/>
      <c r="M547" s="8"/>
    </row>
    <row r="548" spans="3:13" ht="15" thickBot="1" x14ac:dyDescent="0.35">
      <c r="C548" s="571"/>
      <c r="D548" s="572"/>
      <c r="E548" s="572"/>
      <c r="F548" s="572"/>
      <c r="G548" s="572"/>
      <c r="H548" s="572"/>
      <c r="I548" s="572"/>
      <c r="J548" s="572"/>
      <c r="K548" s="572"/>
      <c r="L548" s="572"/>
      <c r="M548" s="104" t="str">
        <f>IF(C548&lt;&gt;"", template_label_ok, "")</f>
        <v/>
      </c>
    </row>
  </sheetData>
  <sheetProtection algorithmName="SHA-512" hashValue="AR1yu5AvPb+gNruMMtFFBalE3o//+7UqcaW4xKlEQ1B7cW3I3w91VRuXXkOc18Kapfxwo13r7q3/R2Mz74GCFQ==" saltValue="vfJf6uXyK93G5Shs354b/Q==" spinCount="100000" sheet="1" formatColumns="0" formatRows="0" insertRows="0"/>
  <mergeCells count="1015">
    <mergeCell ref="D284:F284"/>
    <mergeCell ref="D285:F285"/>
    <mergeCell ref="D275:F275"/>
    <mergeCell ref="D276:F276"/>
    <mergeCell ref="D277:F277"/>
    <mergeCell ref="D278:F278"/>
    <mergeCell ref="D279:F279"/>
    <mergeCell ref="D280:F280"/>
    <mergeCell ref="D281:F281"/>
    <mergeCell ref="D282:F282"/>
    <mergeCell ref="D283:F283"/>
    <mergeCell ref="D266:F266"/>
    <mergeCell ref="D267:F267"/>
    <mergeCell ref="D268:F268"/>
    <mergeCell ref="D269:F269"/>
    <mergeCell ref="D270:F270"/>
    <mergeCell ref="D271:F271"/>
    <mergeCell ref="D272:F272"/>
    <mergeCell ref="D273:F273"/>
    <mergeCell ref="D274:F274"/>
    <mergeCell ref="D257:F257"/>
    <mergeCell ref="D258:F258"/>
    <mergeCell ref="D259:F259"/>
    <mergeCell ref="D260:F260"/>
    <mergeCell ref="D261:F261"/>
    <mergeCell ref="D262:F262"/>
    <mergeCell ref="D263:F263"/>
    <mergeCell ref="D264:F264"/>
    <mergeCell ref="D265:F265"/>
    <mergeCell ref="D248:F248"/>
    <mergeCell ref="D249:F249"/>
    <mergeCell ref="D250:F250"/>
    <mergeCell ref="D251:F251"/>
    <mergeCell ref="D252:F252"/>
    <mergeCell ref="D253:F253"/>
    <mergeCell ref="D254:F254"/>
    <mergeCell ref="D255:F255"/>
    <mergeCell ref="D256:F256"/>
    <mergeCell ref="D213:F213"/>
    <mergeCell ref="D214:F214"/>
    <mergeCell ref="D215:F215"/>
    <mergeCell ref="D216:F216"/>
    <mergeCell ref="D217:F217"/>
    <mergeCell ref="D218:F218"/>
    <mergeCell ref="D219:F219"/>
    <mergeCell ref="D220:F220"/>
    <mergeCell ref="D239:F239"/>
    <mergeCell ref="D240:F240"/>
    <mergeCell ref="D241:F241"/>
    <mergeCell ref="D242:F242"/>
    <mergeCell ref="D243:F243"/>
    <mergeCell ref="D244:F244"/>
    <mergeCell ref="D245:F245"/>
    <mergeCell ref="D246:F246"/>
    <mergeCell ref="D247:F247"/>
    <mergeCell ref="D230:F230"/>
    <mergeCell ref="D231:F231"/>
    <mergeCell ref="D232:F232"/>
    <mergeCell ref="D233:F233"/>
    <mergeCell ref="D234:F234"/>
    <mergeCell ref="D235:F235"/>
    <mergeCell ref="D236:F236"/>
    <mergeCell ref="D237:F237"/>
    <mergeCell ref="D238:F238"/>
    <mergeCell ref="C430:J430"/>
    <mergeCell ref="C431:J431"/>
    <mergeCell ref="C433:F433"/>
    <mergeCell ref="G433:J433"/>
    <mergeCell ref="D434:F434"/>
    <mergeCell ref="D435:F435"/>
    <mergeCell ref="D436:F436"/>
    <mergeCell ref="D437:F437"/>
    <mergeCell ref="D439:F439"/>
    <mergeCell ref="G444:I444"/>
    <mergeCell ref="J423:L423"/>
    <mergeCell ref="J424:L424"/>
    <mergeCell ref="G325:I325"/>
    <mergeCell ref="C319:L319"/>
    <mergeCell ref="E303:F303"/>
    <mergeCell ref="D342:F342"/>
    <mergeCell ref="D340:F340"/>
    <mergeCell ref="D333:F333"/>
    <mergeCell ref="J425:L425"/>
    <mergeCell ref="J426:L426"/>
    <mergeCell ref="D377:F377"/>
    <mergeCell ref="D378:F378"/>
    <mergeCell ref="D345:F345"/>
    <mergeCell ref="D346:F346"/>
    <mergeCell ref="D347:F347"/>
    <mergeCell ref="D348:F348"/>
    <mergeCell ref="D349:F349"/>
    <mergeCell ref="D350:F350"/>
    <mergeCell ref="D351:F351"/>
    <mergeCell ref="D352:F352"/>
    <mergeCell ref="D353:F353"/>
    <mergeCell ref="D354:F354"/>
    <mergeCell ref="G270:I270"/>
    <mergeCell ref="G271:I271"/>
    <mergeCell ref="G272:I272"/>
    <mergeCell ref="G282:I282"/>
    <mergeCell ref="G283:I283"/>
    <mergeCell ref="G284:I284"/>
    <mergeCell ref="G285:I285"/>
    <mergeCell ref="G273:I273"/>
    <mergeCell ref="G274:I274"/>
    <mergeCell ref="G275:I275"/>
    <mergeCell ref="G276:I276"/>
    <mergeCell ref="G277:I277"/>
    <mergeCell ref="G278:I278"/>
    <mergeCell ref="G279:I279"/>
    <mergeCell ref="D141:F141"/>
    <mergeCell ref="D142:F142"/>
    <mergeCell ref="D143:F143"/>
    <mergeCell ref="D144:F144"/>
    <mergeCell ref="D145:F145"/>
    <mergeCell ref="D195:F195"/>
    <mergeCell ref="D197:F197"/>
    <mergeCell ref="G193:I193"/>
    <mergeCell ref="G194:I194"/>
    <mergeCell ref="G195:I195"/>
    <mergeCell ref="G196:I196"/>
    <mergeCell ref="D226:F226"/>
    <mergeCell ref="D227:F227"/>
    <mergeCell ref="D228:F228"/>
    <mergeCell ref="D229:F229"/>
    <mergeCell ref="D212:F212"/>
    <mergeCell ref="G191:I191"/>
    <mergeCell ref="G178:I178"/>
    <mergeCell ref="D287:F287"/>
    <mergeCell ref="C290:F290"/>
    <mergeCell ref="D221:F221"/>
    <mergeCell ref="D222:F222"/>
    <mergeCell ref="D223:F223"/>
    <mergeCell ref="G207:I207"/>
    <mergeCell ref="D196:F196"/>
    <mergeCell ref="D199:F199"/>
    <mergeCell ref="D200:F200"/>
    <mergeCell ref="D201:F201"/>
    <mergeCell ref="D202:F202"/>
    <mergeCell ref="G197:I197"/>
    <mergeCell ref="G198:I198"/>
    <mergeCell ref="G199:I199"/>
    <mergeCell ref="D341:F341"/>
    <mergeCell ref="C308:D308"/>
    <mergeCell ref="E310:F310"/>
    <mergeCell ref="D329:F329"/>
    <mergeCell ref="D327:F327"/>
    <mergeCell ref="G324:I324"/>
    <mergeCell ref="G246:I246"/>
    <mergeCell ref="G247:I247"/>
    <mergeCell ref="G248:I248"/>
    <mergeCell ref="G249:I249"/>
    <mergeCell ref="G250:I250"/>
    <mergeCell ref="G251:I251"/>
    <mergeCell ref="G252:I252"/>
    <mergeCell ref="G253:I253"/>
    <mergeCell ref="G254:I254"/>
    <mergeCell ref="G255:I255"/>
    <mergeCell ref="D224:F224"/>
    <mergeCell ref="D225:F225"/>
    <mergeCell ref="C292:F292"/>
    <mergeCell ref="C293:F293"/>
    <mergeCell ref="G208:I208"/>
    <mergeCell ref="G209:I209"/>
    <mergeCell ref="G287:I287"/>
    <mergeCell ref="D339:F339"/>
    <mergeCell ref="D343:F343"/>
    <mergeCell ref="D344:F344"/>
    <mergeCell ref="D193:F193"/>
    <mergeCell ref="D194:F194"/>
    <mergeCell ref="D203:F203"/>
    <mergeCell ref="D206:F206"/>
    <mergeCell ref="D331:F331"/>
    <mergeCell ref="D317:G317"/>
    <mergeCell ref="G329:I329"/>
    <mergeCell ref="G330:I330"/>
    <mergeCell ref="G295:G298"/>
    <mergeCell ref="G286:I286"/>
    <mergeCell ref="G326:I326"/>
    <mergeCell ref="G327:I327"/>
    <mergeCell ref="C313:G313"/>
    <mergeCell ref="C314:G314"/>
    <mergeCell ref="C315:G315"/>
    <mergeCell ref="C301:D301"/>
    <mergeCell ref="C302:D302"/>
    <mergeCell ref="C307:D307"/>
    <mergeCell ref="C300:D300"/>
    <mergeCell ref="H316:I316"/>
    <mergeCell ref="C306:D306"/>
    <mergeCell ref="G200:I200"/>
    <mergeCell ref="G201:I201"/>
    <mergeCell ref="G203:I203"/>
    <mergeCell ref="D140:F140"/>
    <mergeCell ref="G106:I106"/>
    <mergeCell ref="G107:I107"/>
    <mergeCell ref="G105:I105"/>
    <mergeCell ref="D102:F102"/>
    <mergeCell ref="D103:F103"/>
    <mergeCell ref="D104:F104"/>
    <mergeCell ref="D88:F88"/>
    <mergeCell ref="D89:F89"/>
    <mergeCell ref="J428:L428"/>
    <mergeCell ref="J427:L427"/>
    <mergeCell ref="G427:I427"/>
    <mergeCell ref="G428:I428"/>
    <mergeCell ref="G424:I424"/>
    <mergeCell ref="D208:F208"/>
    <mergeCell ref="D209:F209"/>
    <mergeCell ref="D294:F294"/>
    <mergeCell ref="G336:I336"/>
    <mergeCell ref="G425:I425"/>
    <mergeCell ref="G423:I423"/>
    <mergeCell ref="D424:F424"/>
    <mergeCell ref="D425:F425"/>
    <mergeCell ref="D336:F336"/>
    <mergeCell ref="D423:F423"/>
    <mergeCell ref="D335:F335"/>
    <mergeCell ref="G335:I335"/>
    <mergeCell ref="D296:F296"/>
    <mergeCell ref="D297:F297"/>
    <mergeCell ref="D298:F298"/>
    <mergeCell ref="E304:F304"/>
    <mergeCell ref="D428:F428"/>
    <mergeCell ref="D332:F332"/>
    <mergeCell ref="G103:I103"/>
    <mergeCell ref="D46:F46"/>
    <mergeCell ref="D57:K57"/>
    <mergeCell ref="D58:K58"/>
    <mergeCell ref="C52:K52"/>
    <mergeCell ref="C50:K50"/>
    <mergeCell ref="C49:K49"/>
    <mergeCell ref="C71:K71"/>
    <mergeCell ref="G68:K68"/>
    <mergeCell ref="G88:I88"/>
    <mergeCell ref="G89:I89"/>
    <mergeCell ref="G100:I100"/>
    <mergeCell ref="D96:F96"/>
    <mergeCell ref="G109:I109"/>
    <mergeCell ref="G117:I117"/>
    <mergeCell ref="G210:I210"/>
    <mergeCell ref="G211:I211"/>
    <mergeCell ref="G205:I205"/>
    <mergeCell ref="G206:I206"/>
    <mergeCell ref="G192:I192"/>
    <mergeCell ref="G116:I116"/>
    <mergeCell ref="G184:K184"/>
    <mergeCell ref="G115:I115"/>
    <mergeCell ref="C182:K182"/>
    <mergeCell ref="C185:K185"/>
    <mergeCell ref="D133:F133"/>
    <mergeCell ref="D134:F134"/>
    <mergeCell ref="D135:F135"/>
    <mergeCell ref="D136:F136"/>
    <mergeCell ref="D137:F137"/>
    <mergeCell ref="D138:F138"/>
    <mergeCell ref="D139:F139"/>
    <mergeCell ref="D130:F130"/>
    <mergeCell ref="D131:F131"/>
    <mergeCell ref="D132:F132"/>
    <mergeCell ref="C181:K181"/>
    <mergeCell ref="C183:K183"/>
    <mergeCell ref="G187:I187"/>
    <mergeCell ref="G188:I188"/>
    <mergeCell ref="G189:I189"/>
    <mergeCell ref="G190:I190"/>
    <mergeCell ref="C7:K7"/>
    <mergeCell ref="C8:K8"/>
    <mergeCell ref="C9:K9"/>
    <mergeCell ref="D422:F422"/>
    <mergeCell ref="G331:I331"/>
    <mergeCell ref="G332:I332"/>
    <mergeCell ref="G333:I333"/>
    <mergeCell ref="G334:I334"/>
    <mergeCell ref="D210:F210"/>
    <mergeCell ref="D211:F211"/>
    <mergeCell ref="D286:F286"/>
    <mergeCell ref="D324:F324"/>
    <mergeCell ref="D325:F325"/>
    <mergeCell ref="G422:I422"/>
    <mergeCell ref="D322:F322"/>
    <mergeCell ref="D323:F323"/>
    <mergeCell ref="D326:F326"/>
    <mergeCell ref="G322:I322"/>
    <mergeCell ref="G323:I323"/>
    <mergeCell ref="G25:I25"/>
    <mergeCell ref="G26:I26"/>
    <mergeCell ref="G101:I101"/>
    <mergeCell ref="G102:I102"/>
    <mergeCell ref="C27:F27"/>
    <mergeCell ref="D43:F43"/>
    <mergeCell ref="D34:F34"/>
    <mergeCell ref="D35:F35"/>
    <mergeCell ref="D40:F40"/>
    <mergeCell ref="D41:F41"/>
    <mergeCell ref="D42:F42"/>
    <mergeCell ref="G42:I42"/>
    <mergeCell ref="G43:I43"/>
    <mergeCell ref="C423:C428"/>
    <mergeCell ref="D187:F187"/>
    <mergeCell ref="G179:I179"/>
    <mergeCell ref="G110:I110"/>
    <mergeCell ref="G111:I111"/>
    <mergeCell ref="G112:I112"/>
    <mergeCell ref="G113:I113"/>
    <mergeCell ref="G114:I114"/>
    <mergeCell ref="C186:K186"/>
    <mergeCell ref="D334:F334"/>
    <mergeCell ref="D330:F330"/>
    <mergeCell ref="D328:F328"/>
    <mergeCell ref="H317:I317"/>
    <mergeCell ref="D204:F204"/>
    <mergeCell ref="D205:F205"/>
    <mergeCell ref="D207:F207"/>
    <mergeCell ref="C320:L320"/>
    <mergeCell ref="C321:L321"/>
    <mergeCell ref="D316:G316"/>
    <mergeCell ref="D295:F295"/>
    <mergeCell ref="C291:F291"/>
    <mergeCell ref="G328:I328"/>
    <mergeCell ref="D129:F129"/>
    <mergeCell ref="G87:I87"/>
    <mergeCell ref="D87:F87"/>
    <mergeCell ref="C77:K77"/>
    <mergeCell ref="C78:K78"/>
    <mergeCell ref="C75:F75"/>
    <mergeCell ref="G85:I85"/>
    <mergeCell ref="G75:K75"/>
    <mergeCell ref="D79:F79"/>
    <mergeCell ref="G79:I79"/>
    <mergeCell ref="G86:I86"/>
    <mergeCell ref="D83:F83"/>
    <mergeCell ref="D84:F84"/>
    <mergeCell ref="D85:F85"/>
    <mergeCell ref="D86:F86"/>
    <mergeCell ref="C76:F76"/>
    <mergeCell ref="G46:I46"/>
    <mergeCell ref="C72:K72"/>
    <mergeCell ref="C73:K73"/>
    <mergeCell ref="D47:F47"/>
    <mergeCell ref="G47:I47"/>
    <mergeCell ref="C67:F67"/>
    <mergeCell ref="G67:K67"/>
    <mergeCell ref="D62:K62"/>
    <mergeCell ref="C66:F66"/>
    <mergeCell ref="D56:K56"/>
    <mergeCell ref="G74:K74"/>
    <mergeCell ref="G69:K69"/>
    <mergeCell ref="G76:K76"/>
    <mergeCell ref="C74:F74"/>
    <mergeCell ref="D105:F105"/>
    <mergeCell ref="G99:I99"/>
    <mergeCell ref="G90:I90"/>
    <mergeCell ref="G91:I91"/>
    <mergeCell ref="G92:I92"/>
    <mergeCell ref="G93:I93"/>
    <mergeCell ref="G94:I94"/>
    <mergeCell ref="D120:F120"/>
    <mergeCell ref="D121:F121"/>
    <mergeCell ref="D122:F122"/>
    <mergeCell ref="D123:F123"/>
    <mergeCell ref="D124:F124"/>
    <mergeCell ref="D125:F125"/>
    <mergeCell ref="D126:F126"/>
    <mergeCell ref="D127:F127"/>
    <mergeCell ref="D128:F128"/>
    <mergeCell ref="D179:F179"/>
    <mergeCell ref="D110:F110"/>
    <mergeCell ref="D106:F106"/>
    <mergeCell ref="D107:F107"/>
    <mergeCell ref="D108:F108"/>
    <mergeCell ref="D109:F109"/>
    <mergeCell ref="D93:F93"/>
    <mergeCell ref="D101:F101"/>
    <mergeCell ref="D98:F98"/>
    <mergeCell ref="D94:F94"/>
    <mergeCell ref="D95:F95"/>
    <mergeCell ref="G97:I97"/>
    <mergeCell ref="G98:I98"/>
    <mergeCell ref="D154:F154"/>
    <mergeCell ref="D155:F155"/>
    <mergeCell ref="D156:F156"/>
    <mergeCell ref="C184:F184"/>
    <mergeCell ref="D92:F92"/>
    <mergeCell ref="D438:F438"/>
    <mergeCell ref="D533:F533"/>
    <mergeCell ref="D534:F534"/>
    <mergeCell ref="G446:I446"/>
    <mergeCell ref="C548:L548"/>
    <mergeCell ref="C538:K538"/>
    <mergeCell ref="C546:L546"/>
    <mergeCell ref="E540:K540"/>
    <mergeCell ref="E541:K541"/>
    <mergeCell ref="E543:K543"/>
    <mergeCell ref="E542:K542"/>
    <mergeCell ref="E544:K544"/>
    <mergeCell ref="C543:D543"/>
    <mergeCell ref="C544:D544"/>
    <mergeCell ref="C540:D540"/>
    <mergeCell ref="C541:D541"/>
    <mergeCell ref="C542:D542"/>
    <mergeCell ref="C539:D539"/>
    <mergeCell ref="E539:K539"/>
    <mergeCell ref="C547:L547"/>
    <mergeCell ref="G533:I533"/>
    <mergeCell ref="G534:I534"/>
    <mergeCell ref="G447:I447"/>
    <mergeCell ref="D113:F113"/>
    <mergeCell ref="D112:F112"/>
    <mergeCell ref="D111:F111"/>
    <mergeCell ref="D100:F100"/>
    <mergeCell ref="G536:I536"/>
    <mergeCell ref="G535:I535"/>
    <mergeCell ref="G434:I434"/>
    <mergeCell ref="C536:F536"/>
    <mergeCell ref="D444:F444"/>
    <mergeCell ref="D443:F443"/>
    <mergeCell ref="D442:F442"/>
    <mergeCell ref="D441:F441"/>
    <mergeCell ref="D440:F440"/>
    <mergeCell ref="C535:F535"/>
    <mergeCell ref="G435:I435"/>
    <mergeCell ref="G436:I436"/>
    <mergeCell ref="G437:I437"/>
    <mergeCell ref="G438:I438"/>
    <mergeCell ref="G439:I439"/>
    <mergeCell ref="G440:I440"/>
    <mergeCell ref="G441:I441"/>
    <mergeCell ref="G442:I442"/>
    <mergeCell ref="G443:I443"/>
    <mergeCell ref="D454:F454"/>
    <mergeCell ref="D455:F455"/>
    <mergeCell ref="D456:F456"/>
    <mergeCell ref="D457:F457"/>
    <mergeCell ref="D458:F458"/>
    <mergeCell ref="D459:F459"/>
    <mergeCell ref="D460:F460"/>
    <mergeCell ref="D461:F461"/>
    <mergeCell ref="D462:F462"/>
    <mergeCell ref="D463:F463"/>
    <mergeCell ref="D464:F464"/>
    <mergeCell ref="D465:F465"/>
    <mergeCell ref="D466:F466"/>
    <mergeCell ref="D467:F467"/>
    <mergeCell ref="D468:F468"/>
    <mergeCell ref="D469:F469"/>
    <mergeCell ref="G204:I204"/>
    <mergeCell ref="G104:I104"/>
    <mergeCell ref="D188:F188"/>
    <mergeCell ref="D189:F189"/>
    <mergeCell ref="D118:F118"/>
    <mergeCell ref="D119:F119"/>
    <mergeCell ref="D91:F91"/>
    <mergeCell ref="C289:F289"/>
    <mergeCell ref="G202:I202"/>
    <mergeCell ref="C11:F11"/>
    <mergeCell ref="D90:F90"/>
    <mergeCell ref="D99:F99"/>
    <mergeCell ref="D178:F17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90:F190"/>
    <mergeCell ref="D157:F157"/>
    <mergeCell ref="D158:F158"/>
    <mergeCell ref="D159:F159"/>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G20:I20"/>
    <mergeCell ref="G21:I21"/>
    <mergeCell ref="G22:I22"/>
    <mergeCell ref="G23:I23"/>
    <mergeCell ref="G27:J27"/>
    <mergeCell ref="G24:I24"/>
    <mergeCell ref="G29:K29"/>
    <mergeCell ref="G28:I28"/>
    <mergeCell ref="L12:L14"/>
    <mergeCell ref="G19:I19"/>
    <mergeCell ref="C10:F10"/>
    <mergeCell ref="G10:K10"/>
    <mergeCell ref="D191:F191"/>
    <mergeCell ref="D192:F192"/>
    <mergeCell ref="D198:F19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D146:F146"/>
    <mergeCell ref="D147:F147"/>
    <mergeCell ref="D148:F148"/>
    <mergeCell ref="D149:F149"/>
    <mergeCell ref="D150:F150"/>
    <mergeCell ref="D151:F151"/>
    <mergeCell ref="D152:F152"/>
    <mergeCell ref="D153:F153"/>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G40:I40"/>
    <mergeCell ref="G41:I41"/>
    <mergeCell ref="D44:F44"/>
    <mergeCell ref="D24:F24"/>
    <mergeCell ref="D28:F28"/>
    <mergeCell ref="D45:F45"/>
    <mergeCell ref="D25:F25"/>
    <mergeCell ref="D26:F26"/>
    <mergeCell ref="D160:F160"/>
    <mergeCell ref="D161:F161"/>
    <mergeCell ref="D162:F162"/>
    <mergeCell ref="D163:F163"/>
    <mergeCell ref="D164:F164"/>
    <mergeCell ref="D165:F165"/>
    <mergeCell ref="D166:F166"/>
    <mergeCell ref="D167:F167"/>
    <mergeCell ref="D168:F168"/>
    <mergeCell ref="D169:F169"/>
    <mergeCell ref="D170:F170"/>
    <mergeCell ref="D171:F171"/>
    <mergeCell ref="D172:F172"/>
    <mergeCell ref="D173:F173"/>
    <mergeCell ref="D174:F174"/>
    <mergeCell ref="D175:F175"/>
    <mergeCell ref="D176:F176"/>
    <mergeCell ref="D177:F17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G151:I151"/>
    <mergeCell ref="G152:I152"/>
    <mergeCell ref="G153:I153"/>
    <mergeCell ref="G154:I154"/>
    <mergeCell ref="G155:I155"/>
    <mergeCell ref="G156:I156"/>
    <mergeCell ref="G157:I157"/>
    <mergeCell ref="G158:I158"/>
    <mergeCell ref="G159:I159"/>
    <mergeCell ref="G160:I160"/>
    <mergeCell ref="G161:I161"/>
    <mergeCell ref="G162:I162"/>
    <mergeCell ref="G163:I163"/>
    <mergeCell ref="G164:I164"/>
    <mergeCell ref="G165:I165"/>
    <mergeCell ref="G166:I166"/>
    <mergeCell ref="G167:I167"/>
    <mergeCell ref="G168:I168"/>
    <mergeCell ref="G169:I169"/>
    <mergeCell ref="G170:I170"/>
    <mergeCell ref="G171:I171"/>
    <mergeCell ref="G172:I172"/>
    <mergeCell ref="G173:I173"/>
    <mergeCell ref="G174:I174"/>
    <mergeCell ref="G175:I175"/>
    <mergeCell ref="G176:I176"/>
    <mergeCell ref="G177:I177"/>
    <mergeCell ref="D337:F337"/>
    <mergeCell ref="D338:F338"/>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337:I337"/>
    <mergeCell ref="G338:I338"/>
    <mergeCell ref="G228:I228"/>
    <mergeCell ref="D355:F355"/>
    <mergeCell ref="D356:F356"/>
    <mergeCell ref="D357:F357"/>
    <mergeCell ref="D358:F358"/>
    <mergeCell ref="D359:F359"/>
    <mergeCell ref="D360:F360"/>
    <mergeCell ref="D361:F361"/>
    <mergeCell ref="D407:F407"/>
    <mergeCell ref="D408:F408"/>
    <mergeCell ref="D409:F409"/>
    <mergeCell ref="D410:F410"/>
    <mergeCell ref="D411:F411"/>
    <mergeCell ref="D412:F412"/>
    <mergeCell ref="D379:F379"/>
    <mergeCell ref="D380:F380"/>
    <mergeCell ref="D381:F381"/>
    <mergeCell ref="D382:F382"/>
    <mergeCell ref="D383:F383"/>
    <mergeCell ref="D384:F384"/>
    <mergeCell ref="D385:F385"/>
    <mergeCell ref="D386:F386"/>
    <mergeCell ref="D387:F387"/>
    <mergeCell ref="D388:F388"/>
    <mergeCell ref="D389:F389"/>
    <mergeCell ref="D390:F390"/>
    <mergeCell ref="D391:F391"/>
    <mergeCell ref="D392:F392"/>
    <mergeCell ref="D393:F393"/>
    <mergeCell ref="D394:F394"/>
    <mergeCell ref="D395:F395"/>
    <mergeCell ref="D396:F396"/>
    <mergeCell ref="D397:F397"/>
    <mergeCell ref="D398:F398"/>
    <mergeCell ref="D399:F399"/>
    <mergeCell ref="D400:F400"/>
    <mergeCell ref="D401:F401"/>
    <mergeCell ref="D402:F402"/>
    <mergeCell ref="D403:F403"/>
    <mergeCell ref="D404:F404"/>
    <mergeCell ref="D405:F405"/>
    <mergeCell ref="D406:F406"/>
    <mergeCell ref="D362:F362"/>
    <mergeCell ref="D363:F363"/>
    <mergeCell ref="D364:F364"/>
    <mergeCell ref="D365:F365"/>
    <mergeCell ref="D366:F366"/>
    <mergeCell ref="D367:F367"/>
    <mergeCell ref="D368:F368"/>
    <mergeCell ref="D369:F369"/>
    <mergeCell ref="D370:F370"/>
    <mergeCell ref="D371:F371"/>
    <mergeCell ref="D372:F372"/>
    <mergeCell ref="D373:F373"/>
    <mergeCell ref="D374:F374"/>
    <mergeCell ref="D375:F375"/>
    <mergeCell ref="D376:F376"/>
    <mergeCell ref="G339:I339"/>
    <mergeCell ref="G340:I340"/>
    <mergeCell ref="G341:I341"/>
    <mergeCell ref="G342:I342"/>
    <mergeCell ref="G343:I343"/>
    <mergeCell ref="G344:I344"/>
    <mergeCell ref="G345:I345"/>
    <mergeCell ref="G346:I346"/>
    <mergeCell ref="G347:I347"/>
    <mergeCell ref="G348:I348"/>
    <mergeCell ref="G349:I349"/>
    <mergeCell ref="G350:I350"/>
    <mergeCell ref="G351:I351"/>
    <mergeCell ref="G352:I352"/>
    <mergeCell ref="G353:I353"/>
    <mergeCell ref="G360:I360"/>
    <mergeCell ref="G361:I361"/>
    <mergeCell ref="G354:I354"/>
    <mergeCell ref="G355:I355"/>
    <mergeCell ref="G356:I356"/>
    <mergeCell ref="G357:I357"/>
    <mergeCell ref="G358:I358"/>
    <mergeCell ref="G359:I359"/>
    <mergeCell ref="G362:I362"/>
    <mergeCell ref="G363:I363"/>
    <mergeCell ref="G364:I364"/>
    <mergeCell ref="G365:I365"/>
    <mergeCell ref="G366:I366"/>
    <mergeCell ref="G367:I367"/>
    <mergeCell ref="G368:I368"/>
    <mergeCell ref="G369:I369"/>
    <mergeCell ref="G370:I370"/>
    <mergeCell ref="G371:I371"/>
    <mergeCell ref="G372:I372"/>
    <mergeCell ref="G373:I373"/>
    <mergeCell ref="G374:I374"/>
    <mergeCell ref="G375:I375"/>
    <mergeCell ref="G376:I376"/>
    <mergeCell ref="G377:I377"/>
    <mergeCell ref="G378:I378"/>
    <mergeCell ref="G379:I379"/>
    <mergeCell ref="G380:I380"/>
    <mergeCell ref="G381:I381"/>
    <mergeCell ref="G382:I382"/>
    <mergeCell ref="G383:I383"/>
    <mergeCell ref="G384:I384"/>
    <mergeCell ref="G385:I385"/>
    <mergeCell ref="G386:I386"/>
    <mergeCell ref="G387:I387"/>
    <mergeCell ref="G388:I388"/>
    <mergeCell ref="G389:I389"/>
    <mergeCell ref="G390:I390"/>
    <mergeCell ref="G391:I391"/>
    <mergeCell ref="G392:I392"/>
    <mergeCell ref="G393:I393"/>
    <mergeCell ref="G394:I394"/>
    <mergeCell ref="G395:I395"/>
    <mergeCell ref="G396:I396"/>
    <mergeCell ref="G397:I397"/>
    <mergeCell ref="G398:I398"/>
    <mergeCell ref="G399:I399"/>
    <mergeCell ref="G400:I400"/>
    <mergeCell ref="G401:I401"/>
    <mergeCell ref="G402:I402"/>
    <mergeCell ref="G403:I403"/>
    <mergeCell ref="G404:I404"/>
    <mergeCell ref="G405:I405"/>
    <mergeCell ref="G406:I406"/>
    <mergeCell ref="G407:I407"/>
    <mergeCell ref="G408:I408"/>
    <mergeCell ref="G409:I409"/>
    <mergeCell ref="G410:I410"/>
    <mergeCell ref="G411:I411"/>
    <mergeCell ref="G412:I412"/>
    <mergeCell ref="G413:I413"/>
    <mergeCell ref="G414:I414"/>
    <mergeCell ref="G415:I415"/>
    <mergeCell ref="G416:I416"/>
    <mergeCell ref="G417:I417"/>
    <mergeCell ref="G418:I418"/>
    <mergeCell ref="G419:I419"/>
    <mergeCell ref="G420:I420"/>
    <mergeCell ref="G421:I421"/>
    <mergeCell ref="D448:F448"/>
    <mergeCell ref="D449:F449"/>
    <mergeCell ref="D450:F450"/>
    <mergeCell ref="D451:F451"/>
    <mergeCell ref="D452:F452"/>
    <mergeCell ref="D453:F453"/>
    <mergeCell ref="D447:F447"/>
    <mergeCell ref="D426:F426"/>
    <mergeCell ref="D427:F427"/>
    <mergeCell ref="G426:I426"/>
    <mergeCell ref="D413:F413"/>
    <mergeCell ref="D414:F414"/>
    <mergeCell ref="D415:F415"/>
    <mergeCell ref="D416:F416"/>
    <mergeCell ref="D417:F417"/>
    <mergeCell ref="D418:F418"/>
    <mergeCell ref="D419:F419"/>
    <mergeCell ref="D420:F420"/>
    <mergeCell ref="D421:F421"/>
    <mergeCell ref="D445:F445"/>
    <mergeCell ref="G445:I445"/>
    <mergeCell ref="D446:F446"/>
    <mergeCell ref="C432:J432"/>
    <mergeCell ref="D470:F470"/>
    <mergeCell ref="D471:F471"/>
    <mergeCell ref="D472:F472"/>
    <mergeCell ref="D473:F473"/>
    <mergeCell ref="D474:F474"/>
    <mergeCell ref="D475:F475"/>
    <mergeCell ref="D476:F476"/>
    <mergeCell ref="D477:F477"/>
    <mergeCell ref="D478:F478"/>
    <mergeCell ref="D479:F479"/>
    <mergeCell ref="D480:F480"/>
    <mergeCell ref="D481:F481"/>
    <mergeCell ref="D482:F482"/>
    <mergeCell ref="D483:F483"/>
    <mergeCell ref="D484:F484"/>
    <mergeCell ref="D485:F485"/>
    <mergeCell ref="D486:F486"/>
    <mergeCell ref="D487:F487"/>
    <mergeCell ref="D488:F488"/>
    <mergeCell ref="D489:F489"/>
    <mergeCell ref="D490:F490"/>
    <mergeCell ref="D491:F491"/>
    <mergeCell ref="D492:F492"/>
    <mergeCell ref="D493:F493"/>
    <mergeCell ref="D494:F494"/>
    <mergeCell ref="D495:F495"/>
    <mergeCell ref="D496:F496"/>
    <mergeCell ref="D497:F497"/>
    <mergeCell ref="D498:F498"/>
    <mergeCell ref="D499:F499"/>
    <mergeCell ref="D500:F500"/>
    <mergeCell ref="D501:F501"/>
    <mergeCell ref="D502:F502"/>
    <mergeCell ref="D503:F503"/>
    <mergeCell ref="D504:F504"/>
    <mergeCell ref="D505:F505"/>
    <mergeCell ref="D506:F506"/>
    <mergeCell ref="D507:F507"/>
    <mergeCell ref="D508:F508"/>
    <mergeCell ref="D509:F509"/>
    <mergeCell ref="D510:F510"/>
    <mergeCell ref="D511:F511"/>
    <mergeCell ref="D512:F512"/>
    <mergeCell ref="D513:F513"/>
    <mergeCell ref="D514:F514"/>
    <mergeCell ref="D515:F515"/>
    <mergeCell ref="D516:F516"/>
    <mergeCell ref="D517:F517"/>
    <mergeCell ref="D518:F518"/>
    <mergeCell ref="D519:F519"/>
    <mergeCell ref="D520:F520"/>
    <mergeCell ref="D521:F521"/>
    <mergeCell ref="D522:F522"/>
    <mergeCell ref="D523:F523"/>
    <mergeCell ref="D524:F524"/>
    <mergeCell ref="D525:F525"/>
    <mergeCell ref="D526:F526"/>
    <mergeCell ref="D527:F527"/>
    <mergeCell ref="D528:F528"/>
    <mergeCell ref="D529:F529"/>
    <mergeCell ref="D530:F530"/>
    <mergeCell ref="D531:F531"/>
    <mergeCell ref="D532:F532"/>
    <mergeCell ref="G448:I448"/>
    <mergeCell ref="G449:I449"/>
    <mergeCell ref="G450:I450"/>
    <mergeCell ref="G451:I451"/>
    <mergeCell ref="G452:I452"/>
    <mergeCell ref="G453:I453"/>
    <mergeCell ref="G454:I454"/>
    <mergeCell ref="G455:I455"/>
    <mergeCell ref="G456:I456"/>
    <mergeCell ref="G457:I457"/>
    <mergeCell ref="G458:I458"/>
    <mergeCell ref="G459:I459"/>
    <mergeCell ref="G460:I460"/>
    <mergeCell ref="G461:I461"/>
    <mergeCell ref="G462:I462"/>
    <mergeCell ref="G463:I463"/>
    <mergeCell ref="G464:I464"/>
    <mergeCell ref="G465:I465"/>
    <mergeCell ref="G466:I466"/>
    <mergeCell ref="G467:I467"/>
    <mergeCell ref="G468:I468"/>
    <mergeCell ref="G469:I469"/>
    <mergeCell ref="G470:I470"/>
    <mergeCell ref="G471:I471"/>
    <mergeCell ref="G472:I472"/>
    <mergeCell ref="G473:I473"/>
    <mergeCell ref="G474:I474"/>
    <mergeCell ref="G475:I475"/>
    <mergeCell ref="G476:I476"/>
    <mergeCell ref="G477:I477"/>
    <mergeCell ref="G478:I478"/>
    <mergeCell ref="G479:I479"/>
    <mergeCell ref="G480:I480"/>
    <mergeCell ref="G481:I481"/>
    <mergeCell ref="G482:I482"/>
    <mergeCell ref="G483:I483"/>
    <mergeCell ref="G484:I484"/>
    <mergeCell ref="G518:I518"/>
    <mergeCell ref="G485:I485"/>
    <mergeCell ref="G486:I486"/>
    <mergeCell ref="G487:I487"/>
    <mergeCell ref="G488:I488"/>
    <mergeCell ref="G489:I489"/>
    <mergeCell ref="G490:I490"/>
    <mergeCell ref="G491:I491"/>
    <mergeCell ref="G492:I492"/>
    <mergeCell ref="G493:I493"/>
    <mergeCell ref="G494:I494"/>
    <mergeCell ref="G495:I495"/>
    <mergeCell ref="G496:I496"/>
    <mergeCell ref="G497:I497"/>
    <mergeCell ref="G498:I498"/>
    <mergeCell ref="G499:I499"/>
    <mergeCell ref="G500:I500"/>
    <mergeCell ref="G501:I501"/>
    <mergeCell ref="G520:I520"/>
    <mergeCell ref="G521:I521"/>
    <mergeCell ref="G522:I522"/>
    <mergeCell ref="G523:I523"/>
    <mergeCell ref="G524:I524"/>
    <mergeCell ref="G525:I525"/>
    <mergeCell ref="G526:I526"/>
    <mergeCell ref="G527:I527"/>
    <mergeCell ref="G528:I528"/>
    <mergeCell ref="G529:I529"/>
    <mergeCell ref="G530:I530"/>
    <mergeCell ref="G531:I531"/>
    <mergeCell ref="G532:I532"/>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80:I280"/>
    <mergeCell ref="G281:I281"/>
    <mergeCell ref="G502:I502"/>
    <mergeCell ref="G229:I229"/>
    <mergeCell ref="G230:I230"/>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519:I519"/>
    <mergeCell ref="G503:I503"/>
    <mergeCell ref="G504:I504"/>
    <mergeCell ref="G505:I505"/>
    <mergeCell ref="G506:I506"/>
    <mergeCell ref="G507:I507"/>
    <mergeCell ref="G508:I508"/>
    <mergeCell ref="G509:I509"/>
    <mergeCell ref="G510:I510"/>
    <mergeCell ref="G511:I511"/>
    <mergeCell ref="G512:I512"/>
    <mergeCell ref="G513:I513"/>
    <mergeCell ref="G514:I514"/>
    <mergeCell ref="G515:I515"/>
    <mergeCell ref="G516:I516"/>
    <mergeCell ref="G517:I517"/>
  </mergeCells>
  <phoneticPr fontId="3" type="noConversion"/>
  <conditionalFormatting sqref="C52:K52">
    <cfRule type="expression" dxfId="263" priority="161">
      <formula>$J$19=TRUE</formula>
    </cfRule>
  </conditionalFormatting>
  <conditionalFormatting sqref="C78:K78">
    <cfRule type="expression" dxfId="262" priority="146">
      <formula>$G$75=TRUE</formula>
    </cfRule>
    <cfRule type="expression" dxfId="261" priority="168">
      <formula>$G$75=TRUE</formula>
    </cfRule>
    <cfRule type="expression" dxfId="260" priority="158">
      <formula>$G$74=TRUE</formula>
    </cfRule>
  </conditionalFormatting>
  <conditionalFormatting sqref="C186:K186 G189:I286 J189:K287 G287">
    <cfRule type="expression" dxfId="259" priority="156">
      <formula>$G$184=TRUE</formula>
    </cfRule>
  </conditionalFormatting>
  <conditionalFormatting sqref="D58">
    <cfRule type="expression" dxfId="258" priority="182">
      <formula>AND($D$56=TRUE,$D$57="A transition plan has already been adopted")</formula>
    </cfRule>
  </conditionalFormatting>
  <conditionalFormatting sqref="D310">
    <cfRule type="expression" dxfId="257" priority="153">
      <formula>$D$309=TRUE</formula>
    </cfRule>
  </conditionalFormatting>
  <conditionalFormatting sqref="D30:F44">
    <cfRule type="expression" dxfId="256" priority="31">
      <formula>$G$29=TRUE</formula>
    </cfRule>
  </conditionalFormatting>
  <conditionalFormatting sqref="D45:F47">
    <cfRule type="expression" dxfId="255" priority="29">
      <formula>$G$29=FALSE</formula>
    </cfRule>
  </conditionalFormatting>
  <conditionalFormatting sqref="D80:F179">
    <cfRule type="expression" dxfId="254" priority="19">
      <formula>$G$74=TRUE</formula>
    </cfRule>
    <cfRule type="expression" dxfId="253" priority="20">
      <formula>$G$75=TRUE</formula>
    </cfRule>
  </conditionalFormatting>
  <conditionalFormatting sqref="D188:F188">
    <cfRule type="expression" dxfId="252" priority="25">
      <formula>$D$188="VALUE INCONSISTENCY"</formula>
    </cfRule>
  </conditionalFormatting>
  <conditionalFormatting sqref="D189:F287">
    <cfRule type="expression" dxfId="251" priority="80">
      <formula>$D189="VALUE INCONSISTENCY"</formula>
    </cfRule>
  </conditionalFormatting>
  <conditionalFormatting sqref="D317:G317">
    <cfRule type="expression" dxfId="250" priority="190">
      <formula>$D$316="YES"</formula>
    </cfRule>
  </conditionalFormatting>
  <conditionalFormatting sqref="D80:I80 G81:I82 D81:F179">
    <cfRule type="expression" dxfId="249" priority="17">
      <formula>$G$75=TRUE</formula>
    </cfRule>
  </conditionalFormatting>
  <conditionalFormatting sqref="D435:J435 D436:I441 J436:J534 D442:F444 G442:I532 D445:D534 G533:J533 G534">
    <cfRule type="expression" dxfId="248" priority="8">
      <formula>$G$433=TRUE</formula>
    </cfRule>
  </conditionalFormatting>
  <conditionalFormatting sqref="D57:K57">
    <cfRule type="expression" dxfId="247" priority="3">
      <formula>$D$56=FALSE</formula>
    </cfRule>
  </conditionalFormatting>
  <conditionalFormatting sqref="D59:K62">
    <cfRule type="expression" dxfId="246" priority="4">
      <formula>$D$57=""</formula>
    </cfRule>
    <cfRule type="expression" dxfId="245" priority="5">
      <formula>$D$57="A transition plan has already been adopted"</formula>
    </cfRule>
  </conditionalFormatting>
  <conditionalFormatting sqref="E303:E304">
    <cfRule type="expression" dxfId="244" priority="221">
      <formula>$E303=template_label_missing_value</formula>
    </cfRule>
    <cfRule type="expression" dxfId="243" priority="220">
      <formula>$E303=template_label_ok</formula>
    </cfRule>
  </conditionalFormatting>
  <conditionalFormatting sqref="E310">
    <cfRule type="expression" dxfId="242" priority="196">
      <formula>$E$310=template_label_missing_value</formula>
    </cfRule>
    <cfRule type="expression" dxfId="241" priority="197">
      <formula>$E$310=template_label_ok</formula>
    </cfRule>
  </conditionalFormatting>
  <conditionalFormatting sqref="E540:K544">
    <cfRule type="expression" dxfId="240" priority="149">
      <formula>$E$539=TRUE</formula>
    </cfRule>
  </conditionalFormatting>
  <conditionalFormatting sqref="G76">
    <cfRule type="expression" dxfId="239" priority="173">
      <formula>$G$75=TRUE</formula>
    </cfRule>
  </conditionalFormatting>
  <conditionalFormatting sqref="G293:G295">
    <cfRule type="expression" dxfId="238" priority="143">
      <formula>$G293=template_label_missing_value</formula>
    </cfRule>
    <cfRule type="expression" dxfId="237" priority="144">
      <formula>$G293=template_label_ok</formula>
    </cfRule>
    <cfRule type="expression" dxfId="236" priority="23">
      <formula>$G293=template_label_value_inconsistency</formula>
    </cfRule>
  </conditionalFormatting>
  <conditionalFormatting sqref="G80:I82">
    <cfRule type="expression" dxfId="235" priority="16">
      <formula>$G$74=TRUE</formula>
    </cfRule>
  </conditionalFormatting>
  <conditionalFormatting sqref="G12:J13">
    <cfRule type="expression" dxfId="234" priority="165">
      <formula>$G$10=TRUE</formula>
    </cfRule>
  </conditionalFormatting>
  <conditionalFormatting sqref="G14:J14">
    <cfRule type="expression" dxfId="233" priority="34">
      <formula>$G$10=FALSE</formula>
    </cfRule>
  </conditionalFormatting>
  <conditionalFormatting sqref="G21:J24">
    <cfRule type="expression" dxfId="232" priority="164">
      <formula>$J$19=TRUE</formula>
    </cfRule>
  </conditionalFormatting>
  <conditionalFormatting sqref="G30:J44">
    <cfRule type="expression" dxfId="231" priority="30">
      <formula>AND($G$29=TRUE,$J$19=TRUE)</formula>
    </cfRule>
  </conditionalFormatting>
  <conditionalFormatting sqref="G45:J47">
    <cfRule type="expression" dxfId="230" priority="28">
      <formula>OR($J$19=FALSE,$G$29=FALSE)</formula>
    </cfRule>
  </conditionalFormatting>
  <conditionalFormatting sqref="G80:J82">
    <cfRule type="expression" dxfId="229" priority="14">
      <formula>$G$75=TRUE</formula>
    </cfRule>
  </conditionalFormatting>
  <conditionalFormatting sqref="G10:K10">
    <cfRule type="expression" dxfId="228" priority="166">
      <formula>$D$105="YES"</formula>
    </cfRule>
  </conditionalFormatting>
  <conditionalFormatting sqref="G68:K69">
    <cfRule type="expression" dxfId="227" priority="93">
      <formula>$G$29=FALSE</formula>
    </cfRule>
  </conditionalFormatting>
  <conditionalFormatting sqref="G75:K75">
    <cfRule type="expression" dxfId="226" priority="159">
      <formula>$G$74=TRUE</formula>
    </cfRule>
  </conditionalFormatting>
  <conditionalFormatting sqref="G83:K179">
    <cfRule type="expression" dxfId="225" priority="157">
      <formula>$G$75=TRUE</formula>
    </cfRule>
    <cfRule type="expression" dxfId="224" priority="160">
      <formula>$G$74=TRUE</formula>
    </cfRule>
    <cfRule type="expression" dxfId="223" priority="172">
      <formula>$G$75=TRUE</formula>
    </cfRule>
  </conditionalFormatting>
  <conditionalFormatting sqref="G188:K188">
    <cfRule type="expression" dxfId="222" priority="155">
      <formula>$G$184=TRUE</formula>
    </cfRule>
  </conditionalFormatting>
  <conditionalFormatting sqref="H316">
    <cfRule type="expression" dxfId="221" priority="192">
      <formula>$H$316=template_label_missing_value</formula>
    </cfRule>
    <cfRule type="expression" dxfId="220" priority="191">
      <formula>$H$316=template_label_ok</formula>
    </cfRule>
  </conditionalFormatting>
  <conditionalFormatting sqref="H317">
    <cfRule type="expression" dxfId="219" priority="189">
      <formula>$H$317=template_label_ok</formula>
    </cfRule>
    <cfRule type="expression" dxfId="218" priority="188">
      <formula>$H$317=template_label_missing_value</formula>
    </cfRule>
    <cfRule type="expression" dxfId="217" priority="1">
      <formula>$H$317=template_label_value_inconsistency</formula>
    </cfRule>
  </conditionalFormatting>
  <conditionalFormatting sqref="J80:J82">
    <cfRule type="expression" dxfId="216" priority="13">
      <formula>$G$74=TRUE</formula>
    </cfRule>
  </conditionalFormatting>
  <conditionalFormatting sqref="J80:K82">
    <cfRule type="expression" dxfId="215" priority="11">
      <formula>$G$75=TRUE</formula>
    </cfRule>
  </conditionalFormatting>
  <conditionalFormatting sqref="K30:K44">
    <cfRule type="expression" dxfId="214" priority="2">
      <formula>AND($G30&lt;&gt;"", $J30&lt;&gt;"")</formula>
    </cfRule>
  </conditionalFormatting>
  <conditionalFormatting sqref="K30:K47">
    <cfRule type="expression" dxfId="213" priority="27">
      <formula>OR($J$19=FALSE,$G$29=FALSE)</formula>
    </cfRule>
  </conditionalFormatting>
  <conditionalFormatting sqref="K80:K82">
    <cfRule type="expression" dxfId="212" priority="10">
      <formula>$G$74=TRUE</formula>
    </cfRule>
    <cfRule type="expression" dxfId="211" priority="9">
      <formula>$G$75=TRUE</formula>
    </cfRule>
  </conditionalFormatting>
  <conditionalFormatting sqref="K293:K294">
    <cfRule type="expression" dxfId="210" priority="231">
      <formula>$K$293="OK"</formula>
    </cfRule>
    <cfRule type="expression" dxfId="209" priority="237">
      <formula>$K$293="MISSING VALUE"</formula>
    </cfRule>
  </conditionalFormatting>
  <conditionalFormatting sqref="K295:K298 K300 K536">
    <cfRule type="expression" dxfId="208" priority="223">
      <formula>$K295="OK"</formula>
    </cfRule>
    <cfRule type="expression" dxfId="207" priority="222">
      <formula>$K295="MISSING VALUE"</formula>
    </cfRule>
  </conditionalFormatting>
  <conditionalFormatting sqref="K435:K534">
    <cfRule type="expression" dxfId="206" priority="235">
      <formula>$K435=template_label_missing_value</formula>
    </cfRule>
    <cfRule type="expression" dxfId="205" priority="236">
      <formula>$K435=template_label_ok</formula>
    </cfRule>
  </conditionalFormatting>
  <conditionalFormatting sqref="L5">
    <cfRule type="expression" dxfId="204" priority="195">
      <formula>$L$5=template_label_missing_value</formula>
    </cfRule>
    <cfRule type="expression" dxfId="203" priority="193">
      <formula>$L$5= template_label_ok</formula>
    </cfRule>
  </conditionalFormatting>
  <conditionalFormatting sqref="L12">
    <cfRule type="expression" dxfId="202" priority="24">
      <formula>$L$12=template_label_value_inconsistency</formula>
    </cfRule>
    <cfRule type="expression" dxfId="201" priority="148">
      <formula>$L$12=template_label_missing_value</formula>
    </cfRule>
    <cfRule type="expression" dxfId="200" priority="218">
      <formula>$L12=template_label_ok</formula>
    </cfRule>
  </conditionalFormatting>
  <conditionalFormatting sqref="L21">
    <cfRule type="expression" dxfId="199" priority="200">
      <formula>$L$21=template_label_missing_value</formula>
    </cfRule>
    <cfRule type="expression" dxfId="198" priority="201">
      <formula>$L$21=template_label_ok</formula>
    </cfRule>
  </conditionalFormatting>
  <conditionalFormatting sqref="L22">
    <cfRule type="expression" dxfId="197" priority="211">
      <formula>$L$22="OK"</formula>
    </cfRule>
  </conditionalFormatting>
  <conditionalFormatting sqref="L22:L24">
    <cfRule type="expression" dxfId="196" priority="205">
      <formula>$L22=template_label_missing_value</formula>
    </cfRule>
  </conditionalFormatting>
  <conditionalFormatting sqref="L23:L24">
    <cfRule type="expression" dxfId="195" priority="206">
      <formula>$L23=template_label_ok</formula>
    </cfRule>
  </conditionalFormatting>
  <conditionalFormatting sqref="L30:L44">
    <cfRule type="expression" dxfId="194" priority="32">
      <formula>$L$30=template_label_ok</formula>
    </cfRule>
    <cfRule type="expression" dxfId="193" priority="33">
      <formula>$L$30=template_label_missing_value</formula>
    </cfRule>
  </conditionalFormatting>
  <conditionalFormatting sqref="L45">
    <cfRule type="expression" dxfId="192" priority="384">
      <formula>$L$45="OK"</formula>
    </cfRule>
    <cfRule type="expression" dxfId="191" priority="383">
      <formula>$L$45="MISSING VALUE"</formula>
    </cfRule>
  </conditionalFormatting>
  <conditionalFormatting sqref="L52">
    <cfRule type="expression" dxfId="190" priority="147">
      <formula>$L$52=template_label_missing_value</formula>
    </cfRule>
    <cfRule type="expression" dxfId="189" priority="234">
      <formula>$L$52=template_label_ok</formula>
    </cfRule>
  </conditionalFormatting>
  <conditionalFormatting sqref="L56:L59 L62">
    <cfRule type="expression" dxfId="188" priority="176">
      <formula>$L56=template_label_error</formula>
    </cfRule>
    <cfRule type="expression" dxfId="187" priority="179">
      <formula>$L56=template_label_missing_value</formula>
    </cfRule>
    <cfRule type="expression" dxfId="186" priority="180">
      <formula>$L56=template_label_ok</formula>
    </cfRule>
  </conditionalFormatting>
  <conditionalFormatting sqref="L62">
    <cfRule type="expression" dxfId="185" priority="232">
      <formula>$L$62="OK"</formula>
    </cfRule>
  </conditionalFormatting>
  <conditionalFormatting sqref="L74:L75">
    <cfRule type="expression" dxfId="184" priority="170">
      <formula>$L74=template_label_value_inconsistency</formula>
    </cfRule>
  </conditionalFormatting>
  <conditionalFormatting sqref="L74:L76">
    <cfRule type="expression" dxfId="183" priority="171">
      <formula>$L74=template_label_ok</formula>
    </cfRule>
  </conditionalFormatting>
  <conditionalFormatting sqref="L76">
    <cfRule type="expression" dxfId="182" priority="7">
      <formula>$L$76=template_label_invalid_url</formula>
    </cfRule>
    <cfRule type="expression" dxfId="181" priority="169">
      <formula>$L$76=template_label_missing_value</formula>
    </cfRule>
  </conditionalFormatting>
  <conditionalFormatting sqref="L78">
    <cfRule type="expression" dxfId="180" priority="177">
      <formula>$L$78=template_label_ok</formula>
    </cfRule>
    <cfRule type="expression" dxfId="179" priority="178">
      <formula>$L$78=template_label_missing_value</formula>
    </cfRule>
    <cfRule type="expression" dxfId="178" priority="6">
      <formula>$L$78=template_label_value_inconsistency</formula>
    </cfRule>
  </conditionalFormatting>
  <conditionalFormatting sqref="L80:L179">
    <cfRule type="expression" dxfId="177" priority="22">
      <formula>$L80=template_label_value_inconsistency</formula>
    </cfRule>
    <cfRule type="expression" dxfId="176" priority="175">
      <formula>$L80=template_label_ok</formula>
    </cfRule>
    <cfRule type="expression" dxfId="175" priority="174">
      <formula>$L80=template_label_missing_value</formula>
    </cfRule>
  </conditionalFormatting>
  <conditionalFormatting sqref="L186">
    <cfRule type="expression" dxfId="174" priority="186">
      <formula>$L$186=template_label_missing_value</formula>
    </cfRule>
    <cfRule type="expression" dxfId="173" priority="185">
      <formula>$L$186=template_label_ok</formula>
    </cfRule>
  </conditionalFormatting>
  <conditionalFormatting sqref="L188">
    <cfRule type="expression" dxfId="172" priority="84">
      <formula>$D$188=template_label_value_inconsistency</formula>
    </cfRule>
  </conditionalFormatting>
  <conditionalFormatting sqref="L188:L287">
    <cfRule type="expression" dxfId="171" priority="238">
      <formula>$L188=template_label_missing_value</formula>
    </cfRule>
    <cfRule type="expression" dxfId="170" priority="187">
      <formula>$L188=template_label_value_inconcistency</formula>
    </cfRule>
    <cfRule type="expression" dxfId="169" priority="239">
      <formula>$L188=template_label_ok</formula>
    </cfRule>
  </conditionalFormatting>
  <conditionalFormatting sqref="L189:L287">
    <cfRule type="expression" dxfId="168" priority="83">
      <formula>$D$189=template_label_value_inconsistency</formula>
    </cfRule>
  </conditionalFormatting>
  <conditionalFormatting sqref="L190">
    <cfRule type="expression" dxfId="167" priority="82">
      <formula>$D$190=template_label_value_inconsistency</formula>
    </cfRule>
  </conditionalFormatting>
  <conditionalFormatting sqref="L191">
    <cfRule type="expression" dxfId="166" priority="85">
      <formula>$D$191=template_label_value_inconsistency</formula>
    </cfRule>
  </conditionalFormatting>
  <conditionalFormatting sqref="L192">
    <cfRule type="expression" dxfId="165" priority="81">
      <formula>$D$192=template_label_value_inconsistency</formula>
    </cfRule>
  </conditionalFormatting>
  <conditionalFormatting sqref="L193">
    <cfRule type="expression" dxfId="164" priority="56">
      <formula>$D$193=template_label_value_inconsistency</formula>
    </cfRule>
  </conditionalFormatting>
  <conditionalFormatting sqref="L194:L287">
    <cfRule type="expression" dxfId="163" priority="55">
      <formula>$D$194=template_label_value_inconsistency</formula>
    </cfRule>
  </conditionalFormatting>
  <conditionalFormatting sqref="L195">
    <cfRule type="expression" dxfId="162" priority="54">
      <formula>$D$195=template_label_value_inconsistency</formula>
    </cfRule>
  </conditionalFormatting>
  <conditionalFormatting sqref="L196">
    <cfRule type="expression" dxfId="161" priority="53">
      <formula>$D$196=template_label_value_inconsistency</formula>
    </cfRule>
  </conditionalFormatting>
  <conditionalFormatting sqref="L197">
    <cfRule type="expression" dxfId="160" priority="52">
      <formula>$D$197=template_label_value_inconsistency</formula>
    </cfRule>
  </conditionalFormatting>
  <conditionalFormatting sqref="L198">
    <cfRule type="expression" dxfId="159" priority="51">
      <formula>$D$198=template_label_value_inconsistency</formula>
    </cfRule>
  </conditionalFormatting>
  <conditionalFormatting sqref="L199">
    <cfRule type="expression" dxfId="158" priority="50">
      <formula>$D$199=template_label_value_inconsistency</formula>
    </cfRule>
  </conditionalFormatting>
  <conditionalFormatting sqref="L200">
    <cfRule type="expression" dxfId="157" priority="49">
      <formula>$D$200=template_label_value_inconsistency</formula>
    </cfRule>
  </conditionalFormatting>
  <conditionalFormatting sqref="L201">
    <cfRule type="expression" dxfId="156" priority="48">
      <formula>$D$201=template_label_value_inconsistency</formula>
    </cfRule>
  </conditionalFormatting>
  <conditionalFormatting sqref="L202">
    <cfRule type="expression" dxfId="155" priority="47">
      <formula>$D$202=template_label_value_inconsistency</formula>
    </cfRule>
  </conditionalFormatting>
  <conditionalFormatting sqref="L203">
    <cfRule type="expression" dxfId="154" priority="46">
      <formula>$D$203=template_label_value_inconsistency</formula>
    </cfRule>
  </conditionalFormatting>
  <conditionalFormatting sqref="L204">
    <cfRule type="expression" dxfId="153" priority="45">
      <formula>$D$204=template_label_value_inconsistency</formula>
    </cfRule>
  </conditionalFormatting>
  <conditionalFormatting sqref="L205">
    <cfRule type="expression" dxfId="152" priority="44">
      <formula>$D$205=template_label_value_inconsistency</formula>
    </cfRule>
  </conditionalFormatting>
  <conditionalFormatting sqref="L206">
    <cfRule type="expression" dxfId="151" priority="43">
      <formula>$D$206=template_label_value_inconsistency</formula>
    </cfRule>
  </conditionalFormatting>
  <conditionalFormatting sqref="L207:L208">
    <cfRule type="expression" dxfId="150" priority="41">
      <formula>$D$207=template_label_value_inconsistency</formula>
    </cfRule>
  </conditionalFormatting>
  <conditionalFormatting sqref="L209">
    <cfRule type="expression" dxfId="149" priority="40">
      <formula>$D$209=template_label_value_inconsistency</formula>
    </cfRule>
  </conditionalFormatting>
  <conditionalFormatting sqref="L210">
    <cfRule type="expression" dxfId="148" priority="39">
      <formula>$D$210=template_label_value_inconsistency</formula>
    </cfRule>
  </conditionalFormatting>
  <conditionalFormatting sqref="L211:L285">
    <cfRule type="expression" dxfId="147" priority="38">
      <formula>$D$211=template_label_value_inconsistency</formula>
    </cfRule>
  </conditionalFormatting>
  <conditionalFormatting sqref="L286">
    <cfRule type="expression" dxfId="146" priority="37">
      <formula>$D$286=template_label_value_inconsistency</formula>
    </cfRule>
  </conditionalFormatting>
  <conditionalFormatting sqref="L287">
    <cfRule type="expression" dxfId="145" priority="36">
      <formula>$D$287=template_label_value_inconsistency</formula>
    </cfRule>
  </conditionalFormatting>
  <conditionalFormatting sqref="L540:L544">
    <cfRule type="expression" dxfId="144" priority="145">
      <formula>$L540=template_label_missing_value</formula>
    </cfRule>
    <cfRule type="expression" dxfId="143" priority="229">
      <formula>$L540=template_label_ok</formula>
    </cfRule>
  </conditionalFormatting>
  <conditionalFormatting sqref="M323:M423">
    <cfRule type="expression" dxfId="142" priority="380">
      <formula>$M323=template_label_error</formula>
    </cfRule>
    <cfRule type="expression" dxfId="141" priority="381">
      <formula>$M323=template_label_missing_value</formula>
    </cfRule>
    <cfRule type="expression" dxfId="140" priority="382">
      <formula>$M323=template_label_ok</formula>
    </cfRule>
    <cfRule type="expression" dxfId="139" priority="21">
      <formula>$M323=template_label_value_inconsistency</formula>
    </cfRule>
  </conditionalFormatting>
  <conditionalFormatting sqref="M548">
    <cfRule type="expression" dxfId="138" priority="228">
      <formula>$M$548=template_label_ok</formula>
    </cfRule>
  </conditionalFormatting>
  <dataValidations count="46">
    <dataValidation type="list" allowBlank="1" showInputMessage="1" showErrorMessage="1" sqref="C186:K186 C293" xr:uid="{BB6E8662-F11B-4AE9-87E6-9BE13D672F35}">
      <formula1>enum_ListHectM2</formula1>
    </dataValidation>
    <dataValidation type="decimal" operator="equal" allowBlank="1" showInputMessage="1" showErrorMessage="1" sqref="G12:J13 C305:F305 G435:I532 D295:D298 G533:G534 H533:I533 J80:K179 J323:K422 D22:F22 D30:F44 G80:I80 D23:I24 G81:G179 G189:I287" xr:uid="{B2E4A370-DB82-466E-876C-1893EAE8311C}">
      <formula1>C12</formula1>
    </dataValidation>
    <dataValidation type="custom" showInputMessage="1" showErrorMessage="1" sqref="D311:F311" xr:uid="{7F95C833-AC3F-43B8-85EA-74C2C9B45EAB}">
      <formula1>IF(D310&lt;&gt;"",$D$303-$D$310,"-")</formula1>
    </dataValidation>
    <dataValidation type="custom" showInputMessage="1" showErrorMessage="1" sqref="J295:J296" xr:uid="{B409784A-89F0-4AC8-80EC-F39FF2216546}">
      <formula1>IF(AND(D295&lt;&gt;"",G295&lt;&gt;""),(G295-D295)/D295,"-")</formula1>
    </dataValidation>
    <dataValidation type="custom" allowBlank="1" showInputMessage="1" showErrorMessage="1" sqref="J297" xr:uid="{D3095E8A-212A-48DF-93B7-E970D0CBD1A9}">
      <formula1>IF(AND(D297&lt;&gt;"",G297&lt;&gt;""),(G297-D297)/D297,"-")</formula1>
    </dataValidation>
    <dataValidation type="custom" showInputMessage="1" showErrorMessage="1" sqref="J298" xr:uid="{2206BA3F-BFEC-4140-822A-A9D776739A86}">
      <formula1>IF(AND(D298&lt;&gt;"",G298&lt;&gt;""),(G298-D298)/D298,"0,00")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88:I188 G30:I44" xr:uid="{D0DDB1C9-A6DF-417E-95CC-00F6AC02DF64}">
      <formula1>G30</formula1>
    </dataValidation>
    <dataValidation type="list" allowBlank="1" showInputMessage="1" showErrorMessage="1" sqref="D316:G316 E543:K543"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304" xr:uid="{307FEF83-D4F1-491C-ACF9-C51B8CC5FF7C}">
      <formula1>D303</formula1>
    </dataValidation>
    <dataValidation type="decimal" operator="greaterThanOrEqual" allowBlank="1" showInputMessage="1" showErrorMessage="1" sqref="D303" xr:uid="{9D83E98F-5DAC-4E06-8F35-7C9E1FB185F5}">
      <formula1>D304</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423:I423" xr:uid="{5B875B97-80A9-43A1-9D24-28F77F207359}">
      <formula1>enum_ListUnitMeasurement_mass_only</formula1>
    </dataValidation>
    <dataValidation type="list" allowBlank="1" showInputMessage="1" showErrorMessage="1" sqref="G323:I422 J435:J534" xr:uid="{468FA835-924F-4099-92AB-F4A9369DDA2E}">
      <formula1>enum_ListUnitMeasurement</formula1>
    </dataValidation>
    <dataValidation type="custom" showInputMessage="1" showErrorMessage="1" sqref="G10:K10 G29 J19 G75:K75 D56:K56 G184:K184 G433:J433 E539:K539 D309"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311" xr:uid="{273E5F27-9CA2-4255-9DDB-A8BFDBFD4525}"/>
    <dataValidation type="decimal" operator="lessThanOrEqual" showInputMessage="1" showErrorMessage="1" sqref="J30:J44 J22:J23" xr:uid="{56611176-B94D-46AB-9FE2-3BBE997D250F}">
      <formula1>G22</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88:C287"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88:J287" xr:uid="{59814BE8-8296-41E6-93BC-6FEFD17DA5F5}">
      <formula1>IF(K188=TRUE,FALSE,TRUE)</formula1>
    </dataValidation>
    <dataValidation type="custom" showInputMessage="1" showErrorMessage="1" sqref="K188:K287" xr:uid="{88A1E46D-E83C-4E9F-A0DE-55C292A1A46D}">
      <formula1>IF(J188=TRUE,FALSE,TRUE)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79" xr:uid="{F72FC679-E517-46A1-8346-75FC58B90566}">
      <formula1>enum_ListPollutants</formula1>
    </dataValidation>
    <dataValidation type="decimal" operator="lessThanOrEqual" allowBlank="1" showInputMessage="1" showErrorMessage="1" sqref="D310" xr:uid="{C9BF1CFC-1624-433F-AC79-2FA2FCF246EA}">
      <formula1>D303</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lessThanOrEqual" showInputMessage="1" showErrorMessage="1" promptTitle="Warning (if applicable)" sqref="J24" xr:uid="{A2145979-D2B9-4B59-A910-5926E9B28F15}">
      <formula1>G24</formula1>
    </dataValidation>
    <dataValidation allowBlank="1" showInputMessage="1" showErrorMessage="1" promptTitle="Additional rows" sqref="D437:F437" xr:uid="{AEF9E320-326D-4C50-A483-ABF8EA93704A}"/>
    <dataValidation type="list" allowBlank="1" showInputMessage="1" showErrorMessage="1" sqref="D323:F422" xr:uid="{86ED8F12-3B15-41F8-A482-BBF69AEAD6D3}">
      <formula1>enum_ListTypeOfWastes</formula1>
    </dataValidation>
  </dataValidations>
  <hyperlinks>
    <hyperlink ref="C3" r:id="rId1" location="id-69" display="https://xbrl.efrag.org/e-esrs/2024-12-17-efrag-vsme.xhtml - id-69" xr:uid="{A785C4AD-0B95-4DFF-8E0F-42C6AA2490C1}"/>
    <hyperlink ref="C4" r:id="rId2" location="id-182" display="82-89" xr:uid="{6E69B136-F254-47B7-B50D-A93C8C0EB4AB}"/>
    <hyperlink ref="C50" r:id="rId3" location="id-117" xr:uid="{F4FBEC3B-EB83-4C2E-BF21-170D8E8EC19A}"/>
    <hyperlink ref="C51" r:id="rId4" location="id-407" display="https://xbrl.efrag.org/e-esrs/2024-12-17-efrag-vsme.xhtml - id-407" xr:uid="{638437FC-4D75-49FF-9726-757B299FE400}"/>
    <hyperlink ref="G17" r:id="rId5" location="id-118" display="Paragraph 54(b)" xr:uid="{6244A818-EC4F-48E7-AC84-5301360C89F9}"/>
    <hyperlink ref="J17" r:id="rId6" xr:uid="{E32722CC-268A-4C7E-9180-338FD28E0511}"/>
    <hyperlink ref="D18" r:id="rId7" location="id-196" display="90-109" xr:uid="{4DC839D1-20DB-4E09-B7A5-D0A0BC9CEA23}"/>
    <hyperlink ref="G18" r:id="rId8" location="id-400" display="216-222" xr:uid="{E3D76769-85A8-4F19-A90F-D66D27110333}"/>
    <hyperlink ref="D28" r:id="rId9" location="id-398" display="214-215" xr:uid="{9B118876-E4AD-4C1B-AAE8-97DB029124EE}"/>
    <hyperlink ref="C72" r:id="rId10" location="id-74" display="https://xbrl.efrag.org/e-esrs/2024-12-17-efrag-vsme.xhtml - id-74" xr:uid="{54D7F3A9-797B-42E9-80BE-327193BDEABC}"/>
    <hyperlink ref="C73" r:id="rId11" location="id-236" display="110-133" xr:uid="{190D4415-42A4-4D43-B287-B72DD914B8A3}"/>
    <hyperlink ref="C290" r:id="rId12" location="id-76" display="https://xbrl.efrag.org/e-esrs/2024-12-17-efrag-vsme.xhtml - id-76" xr:uid="{2B618F2F-2DC0-4B63-9CF0-7E12FA147AFC}"/>
    <hyperlink ref="C314" r:id="rId13" location="id-83" display="https://xbrl.efrag.org/e-esrs/2024-12-17-efrag-vsme.xhtml - id-83" xr:uid="{323BFE79-70EB-4CE2-B9C3-91002A40B67F}"/>
    <hyperlink ref="C320" r:id="rId14" location="id-85" xr:uid="{34774E4F-7D92-4F86-BA01-3E69B542A9F0}"/>
    <hyperlink ref="C291" r:id="rId15" location="id-264" display="138-141" xr:uid="{DE71F164-3008-4FB9-8EB2-54AB4ECA1636}"/>
    <hyperlink ref="C315" r:id="rId16" location="id-290" display="https://xbrl.efrag.org/e-esrs/2024-12-17-efrag-vsme.xhtml - id-290" xr:uid="{4787EE6B-65DD-4D37-9003-F57D95D7C3E3}"/>
    <hyperlink ref="C321" r:id="rId17" location="id-291" display="160-172" xr:uid="{303B2981-FEC6-4744-9300-EA413929D31B}"/>
    <hyperlink ref="A540" r:id="rId18" xr:uid="{CE1E6101-0E49-497A-B96E-9AA552B3DA6C}"/>
    <hyperlink ref="A541" r:id="rId19" xr:uid="{D6097D81-5D35-4F54-B57E-EE02A65BAB6D}"/>
    <hyperlink ref="A542" r:id="rId20" xr:uid="{7D374740-6DC7-48F4-A99B-089AC209753B}"/>
    <hyperlink ref="A543" r:id="rId21" xr:uid="{150D4BD8-5DE5-4581-8DAE-4C82C7A62056}"/>
    <hyperlink ref="A544" r:id="rId22" display="https://xbrl.efrag.org/eng/interactive/vsme/vsme-standard-annex-i/2025-07-30-ec-rec/58" xr:uid="{EC797813-6429-4DF9-9AA7-E7EF9CEF1CEF}"/>
    <hyperlink ref="B540" r:id="rId23" xr:uid="{13F06C86-825D-430E-ABF7-7903D099B2C8}"/>
    <hyperlink ref="K17" r:id="rId24" xr:uid="{80C232F7-EF01-47F1-B37B-B9465DA971AE}"/>
    <hyperlink ref="C182" r:id="rId25" location="id-75" display="https://xbrl.efrag.org/e-esrs/2024-12-17-efrag-vsme.xhtml - id-75" xr:uid="{477C8E1D-8E11-49EC-A489-12E70C4FFE67}"/>
    <hyperlink ref="C183" r:id="rId26" location="id-260" display="134-137" xr:uid="{79B9B2C7-556F-4990-B4AB-2754EB7A61A1}"/>
    <hyperlink ref="C431" r:id="rId27" location="id-87" xr:uid="{6BE3DB22-1314-4A4E-8418-B1701C7E0A19}"/>
    <hyperlink ref="C432" r:id="rId28" location="id-353" display="173-174" xr:uid="{6218306B-0419-442B-876E-2B32619A0D96}"/>
    <hyperlink ref="C65" r:id="rId29" location="id-73" display="https://xbrl.efrag.org/e-esrs/2024-12-17-efrag-vsme.xhtml - id-73" xr:uid="{1F3ACB44-AE6B-4E80-908F-73BEA496FD95}"/>
    <hyperlink ref="C547" r:id="rId30" location="id-30" display="https://xbrl.efrag.org/e-esrs/2024-12-17-efrag-vsme.xhtml - id-30" xr:uid="{8191E0B1-15FD-4663-A70D-17A84E710C3E}"/>
    <hyperlink ref="C301" r:id="rId31" location="id-81" display="https://xbrl.efrag.org/e-esrs/2024-12-17-efrag-vsme.xhtml - id-81" xr:uid="{50BA1BA2-81A0-434C-BE2B-6B94DE19A97B}"/>
    <hyperlink ref="C307" r:id="rId32" location="id-81" display="35-36" xr:uid="{9EB17F31-FED5-4A9A-843D-A89DC4708454}"/>
    <hyperlink ref="C308" r:id="rId33" location="id-268" display="142-155" xr:uid="{62AC2A99-3F34-4CBE-BDAF-11563855801F}"/>
    <hyperlink ref="C17:D17" r:id="rId34" location="id-70" display="https://xbrl.efrag.org/e-esrs/2024-12-17-efrag-vsme.xhtml - id-70" xr:uid="{365B931A-E911-46E5-8026-EF90DCBF85DB}"/>
    <hyperlink ref="C27:D27" r:id="rId35" location="id-112" display="50-53" xr:uid="{3DBD1A28-DC3E-40DC-9509-EA926F607751}"/>
    <hyperlink ref="G27:J27" r:id="rId36" display="https://xbrl.efrag.org/eng/interactive/vsme/vsme-standard-annex-i/2025-07-30-ec-rec/54/d" xr:uid="{FA2393F6-873E-45A0-B6D3-FA6AD5E1230A}"/>
    <hyperlink ref="A59" r:id="rId37" location="id-123" display="https://xbrl.efrag.org/e-esrs/2024-12-17-efrag-vsme.xhtml - id-123" xr:uid="{5155F932-F89F-44F2-BA89-74CDEA4817F0}"/>
    <hyperlink ref="C9" r:id="rId38" location="id-182" display="82-89" xr:uid="{029124E6-E37E-4A98-93EE-BBDACB0FCB2C}"/>
    <hyperlink ref="A56" r:id="rId39" display="https://xbrl.efrag.org/eng/interactive/vsme/vsme-standard-annex-i/2025-07-30-ec-rec/55" xr:uid="{23B02246-8F88-4A95-9887-8E8471F2E145}"/>
    <hyperlink ref="B56" r:id="rId40" xr:uid="{9F22D8E3-2E8E-40D0-AC4E-03DD91E3F81F}"/>
    <hyperlink ref="C307:D307" r:id="rId41" display="https://xbrl.efrag.org/eng/interactive/vsme/vsme-standard-annex-i/2025-07-30-ec-rec/36" xr:uid="{08D12C5F-C868-4CDA-BEBA-B676529CB904}"/>
    <hyperlink ref="C14:F14" location="template_FUEL_CONVERTER" display="Fuels (see Fuel Converter on Fuels worksheet)" xr:uid="{A029E2CF-74B8-43AA-80AE-64A2E02A3995}"/>
    <hyperlink ref="C3:K3" r:id="rId42" display="https://xbrl.efrag.org/eng/interactive/vsme/vsme-standard-annex-i/2025-07-30-ec-rec/29" xr:uid="{A7F34C4A-10FB-4424-87DE-42EEA8CEA76B}"/>
    <hyperlink ref="C17:F17" r:id="rId43" display="https://xbrl.efrag.org/eng/interactive/vsme/vsme-standard-annex-i/2025-07-30-ec-rec/30" xr:uid="{6C59972C-0668-42F7-8CCD-9AE86FBC38EC}"/>
    <hyperlink ref="G17:I17" r:id="rId44" display="54(b)" xr:uid="{364F15A6-5B4F-4259-A406-B7092E211F2F}"/>
    <hyperlink ref="C27:F27" r:id="rId45" display="50-53" xr:uid="{8F729633-44CB-405F-AA82-B6C89F3DC8FB}"/>
    <hyperlink ref="C50:K50" r:id="rId46" display="54(e)" xr:uid="{81FE59B6-40CF-4742-9ED9-F7B4E2BB2BA2}"/>
    <hyperlink ref="A59:A62" r:id="rId47" display="https://xbrl.efrag.org/eng/interactive/vsme/vsme-standard-annex-i/2025-07-30-ec-rec/56" xr:uid="{E5EC0612-0918-4B4B-A021-782AE8A55141}"/>
    <hyperlink ref="C65:K65" r:id="rId48" display="https://xbrl.efrag.org/eng/interactive/vsme/vsme-standard-annex-i/2025-07-30-ec-rec/31" xr:uid="{6BA0BFF5-A51C-400C-923E-90191FD8A81A}"/>
    <hyperlink ref="C72:K72" r:id="rId49" display="https://xbrl.efrag.org/eng/interactive/vsme/vsme-standard-annex-i/2025-07-30-ec-rec/32" xr:uid="{E0C050FC-D9FD-4445-912B-9ECE1F8C79C6}"/>
    <hyperlink ref="C182:K182" r:id="rId50" display="https://xbrl.efrag.org/eng/interactive/vsme/vsme-standard-annex-i/2025-07-30-ec-rec/33" xr:uid="{18D02725-37E9-4912-AE40-1A2F1932692F}"/>
    <hyperlink ref="C290:F290" r:id="rId51" display="https://xbrl.efrag.org/eng/interactive/vsme/vsme-standard-annex-i/2025-07-30-ec-rec/34" xr:uid="{1E725C46-C679-4052-AC6C-9B43FAF420E9}"/>
    <hyperlink ref="C301:D301" r:id="rId52" display="https://xbrl.efrag.org/eng/interactive/vsme/vsme-standard-annex-i/2025-07-30-ec-rec/35" xr:uid="{C5F7B0AA-FEE2-4F07-BF55-E0D6B598140A}"/>
    <hyperlink ref="C314:G314" r:id="rId53" display="https://xbrl.efrag.org/eng/interactive/vsme/vsme-standard-annex-i/2025-07-30-ec-rec/37" xr:uid="{CF11B702-3061-477D-9A98-D7C8FC2FC832}"/>
    <hyperlink ref="C320:L320" r:id="rId54" display="38(a) and 38(b)" xr:uid="{2916048F-E00D-4F8E-AA1D-D98CC76634A5}"/>
    <hyperlink ref="C431:J431" r:id="rId55" display="38(c)" xr:uid="{A7A770CA-3A79-460E-AE7B-758D7EA2788E}"/>
    <hyperlink ref="C547:L547" r:id="rId56" display="https://xbrl.efrag.org/eng/interactive/vsme/vsme-standard-annex-i/2025-07-30-ec-rec/10" xr:uid="{6FEDD8C0-AEF6-4F30-9CF0-705DD5797E5C}"/>
    <hyperlink ref="C4:K4" r:id="rId57" display="18-25" xr:uid="{9EF65291-E505-474B-9BE5-B5513B30FAE6}"/>
    <hyperlink ref="C9:K9" r:id="rId58" display="18-25" xr:uid="{7644CC2E-A677-4966-AD28-38088652B08F}"/>
    <hyperlink ref="D18:F18" r:id="rId59" display="26-45" xr:uid="{54415CE9-C842-4018-BC58-63FE91DAE286}"/>
    <hyperlink ref="G18:I18" r:id="rId60" display="152-158" xr:uid="{A90AEE1E-5ECE-408D-9BD8-277E2DDFCB76}"/>
    <hyperlink ref="K18" r:id="rId61" xr:uid="{0BF03DAE-C5A3-44DA-BFFE-62B915B319D5}"/>
    <hyperlink ref="J18" r:id="rId62" xr:uid="{0ABBAA9C-B0D1-4D7C-9925-9696EA01191B}"/>
    <hyperlink ref="D28:F28" r:id="rId63" display="150-151" xr:uid="{6241CA82-2598-4088-946B-5FE503CFC4E2}"/>
    <hyperlink ref="C51:K51" r:id="rId64" display="https://xbrl.efrag.org/eng/interactive/vsme/vsme-guidance-annex-ii/2025-07-30-ec-rec/159" xr:uid="{9853AE71-58EB-44FC-8CCE-6D936F389CAD}"/>
    <hyperlink ref="B59:B62" r:id="rId65" display="160-163" xr:uid="{1AAF8898-D351-4F85-AB32-DF4AFB737470}"/>
    <hyperlink ref="C73:K73" r:id="rId66" display="46-69" xr:uid="{093BCEF6-7E0E-4310-B894-FE2122CAA6D0}"/>
    <hyperlink ref="C183:K183" r:id="rId67" display="70-73" xr:uid="{ADDB76C3-31EF-4D03-989E-01BA41940AF0}"/>
    <hyperlink ref="C291:F291" r:id="rId68" display="74-76" xr:uid="{838EAE7C-DEF6-45AF-93B2-5485EB91BDBA}"/>
    <hyperlink ref="C308:D308" r:id="rId69" display="77-90" xr:uid="{049A5BD7-EF46-4CF5-878F-A00421D86BF2}"/>
    <hyperlink ref="C315:G315" r:id="rId70" display="https://xbrl.efrag.org/eng/interactive/vsme/vsme-guidance-annex-ii/2025-07-30-ec-rec/94" xr:uid="{D20F3F3A-72EE-4E84-8911-A4E5F49DEFBB}"/>
    <hyperlink ref="C321:L321" r:id="rId71" display="95-107" xr:uid="{5A214E87-D657-4C42-B387-6E155E48A5C4}"/>
    <hyperlink ref="C432:J432" r:id="rId72" display="108-109" xr:uid="{0AB5E17B-E870-404D-AFF4-29BA2E5C3CDB}"/>
    <hyperlink ref="A57" r:id="rId73" display="https://xbrl.efrag.org/eng/interactive/vsme/vsme-standard-annex-i/2025-07-30-ec-rec/55" xr:uid="{B6903554-697A-4452-BEBE-247674A76982}"/>
    <hyperlink ref="A58" r:id="rId74" display="https://xbrl.efrag.org/eng/interactive/vsme/vsme-standard-annex-i/2025-07-30-ec-rec/55" xr:uid="{D40997F3-EF24-42C9-B393-8ADB9CCD237A}"/>
    <hyperlink ref="C8" r:id="rId75" location="id-69" display="https://xbrl.efrag.org/e-esrs/2024-12-17-efrag-vsme.xhtml - id-69" xr:uid="{F3F27717-5413-4050-89AF-53FE39F2890B}"/>
    <hyperlink ref="C8:K8" r:id="rId76" display="https://xbrl.efrag.org/eng/interactive/vsme/vsme-standard-annex-i/2025-07-30-ec-rec/29" xr:uid="{0387C2A5-8C66-45EA-B369-FB19C4F01A64}"/>
    <hyperlink ref="B544" r:id="rId77" xr:uid="{AC7CCD47-0010-4354-8D4F-FA1ED42CD433}"/>
    <hyperlink ref="B57" r:id="rId78" xr:uid="{59702F8A-53C4-4D6F-88E3-3025243DA959}"/>
    <hyperlink ref="B58" r:id="rId79" xr:uid="{9AF9DFDD-D473-498C-9909-9497928C6F53}"/>
    <hyperlink ref="B541" r:id="rId80" xr:uid="{108E1487-6984-4E23-821C-A1ED53D1FEFD}"/>
    <hyperlink ref="B542" r:id="rId81" xr:uid="{F192B5CB-E03F-42CC-A5C4-D47E630D689F}"/>
    <hyperlink ref="B543" r:id="rId82" xr:uid="{F5FDA725-30B0-43F6-920A-EC7CD1344B13}"/>
    <hyperlink ref="C302:D302" r:id="rId83" display="77-93" xr:uid="{BA6B27B9-AC75-4DCB-9188-82232766C1C9}"/>
  </hyperlinks>
  <pageMargins left="0.7" right="0.7" top="0.75" bottom="0.75" header="0.3" footer="0.3"/>
  <pageSetup orientation="portrait" r:id="rId84"/>
  <drawing r:id="rId8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dimension ref="A1:V200"/>
  <sheetViews>
    <sheetView zoomScaleNormal="100" workbookViewId="0"/>
  </sheetViews>
  <sheetFormatPr defaultColWidth="8.88671875" defaultRowHeight="14.4" outlineLevelRow="1" x14ac:dyDescent="0.3"/>
  <cols>
    <col min="1" max="2" width="10" style="10" bestFit="1" customWidth="1"/>
    <col min="3" max="3" width="73.88671875" style="10" customWidth="1"/>
    <col min="4" max="4" width="38.109375" style="10" customWidth="1"/>
    <col min="5" max="5" width="27.88671875" style="10" customWidth="1"/>
    <col min="6" max="7" width="8.88671875" style="10"/>
    <col min="8" max="9" width="21.33203125" style="10" bestFit="1" customWidth="1"/>
    <col min="10" max="16384" width="8.88671875" style="10"/>
  </cols>
  <sheetData>
    <row r="1" spans="1:8" ht="43.8" thickBot="1" x14ac:dyDescent="0.35">
      <c r="A1" s="257" t="str">
        <f>template_label_paragraph_reference</f>
        <v>Paragraph Reference</v>
      </c>
      <c r="B1" s="257" t="str">
        <f>template_label_paragraph_guidance_reference</f>
        <v>Paragraph Guidance Reference</v>
      </c>
    </row>
    <row r="2" spans="1:8" ht="15" thickBot="1" x14ac:dyDescent="0.35">
      <c r="C2" s="971" t="str">
        <f>template_label_employee_counting_methodology_for_the_disclosures_below_headcount_full_time_equivalent</f>
        <v>Employee counting methodology for the disclosures below (Headcount or Full time Equivalent linked from B1</v>
      </c>
      <c r="D2" s="972"/>
      <c r="E2" s="973"/>
      <c r="F2" s="974" t="str">
        <f>IF('General Information'!$E$330="","-",'General Information'!$E$330)</f>
        <v>Full-time equivalent (FTE)</v>
      </c>
      <c r="G2" s="974"/>
      <c r="H2" s="975"/>
    </row>
    <row r="3" spans="1:8" ht="15" thickBot="1" x14ac:dyDescent="0.35">
      <c r="C3" s="971" t="str">
        <f>template_label_employee_counting_methodology_for_the_disclosures_below_period</f>
        <v>Employee counting methodology for the disclosures below (At the end of the reporting period or as an average across the reporting period linked from B1)</v>
      </c>
      <c r="D3" s="972"/>
      <c r="E3" s="973"/>
      <c r="F3" s="976" t="str">
        <f>IF('General Information'!$E$329="","-",'General Information'!$E$329)</f>
        <v>As an average across the reporting period</v>
      </c>
      <c r="G3" s="977"/>
      <c r="H3" s="978"/>
    </row>
    <row r="5" spans="1:8" ht="15" thickBot="1" x14ac:dyDescent="0.35"/>
    <row r="6" spans="1:8" x14ac:dyDescent="0.3">
      <c r="C6" s="623" t="str">
        <f>template_label_b8_workforce_general_characteristics_type_of_contract&amp;" "&amp;template_label_always_to_be_reported</f>
        <v>B8 – Workforce – General characteristics - Type of contract [Always to be reported]</v>
      </c>
      <c r="D6" s="624"/>
      <c r="E6" s="624"/>
      <c r="F6" s="624"/>
      <c r="G6" s="625"/>
      <c r="H6"/>
    </row>
    <row r="7" spans="1:8" x14ac:dyDescent="0.3">
      <c r="C7" s="553" t="s">
        <v>3754</v>
      </c>
      <c r="D7" s="554"/>
      <c r="E7" s="554"/>
      <c r="F7" s="554"/>
      <c r="G7" s="555"/>
    </row>
    <row r="8" spans="1:8" x14ac:dyDescent="0.3">
      <c r="C8" s="668" t="s">
        <v>5655</v>
      </c>
      <c r="D8" s="989"/>
      <c r="E8" s="989"/>
      <c r="F8" s="989"/>
      <c r="G8" s="990"/>
    </row>
    <row r="9" spans="1:8" x14ac:dyDescent="0.3">
      <c r="C9" s="148" t="str">
        <f>template_label_type_of_contract</f>
        <v>Type of contract</v>
      </c>
      <c r="D9" s="991" t="str">
        <f>template_label_number_of_employees</f>
        <v>Number of employees</v>
      </c>
      <c r="E9" s="992"/>
      <c r="F9" s="992"/>
      <c r="G9" s="993"/>
      <c r="H9" s="149"/>
    </row>
    <row r="10" spans="1:8" x14ac:dyDescent="0.3">
      <c r="C10" s="150" t="str">
        <f>template_label_permanent_contract</f>
        <v>Permanent contract</v>
      </c>
      <c r="D10" s="982">
        <v>110</v>
      </c>
      <c r="E10" s="983"/>
      <c r="F10" s="983"/>
      <c r="G10" s="984"/>
      <c r="H10" s="15" t="str">
        <f>IF(
    AND(
        OR(
            'General Information'!E122="Option A (Basic Module only)",
            'General Information'!E122="Option B (Basic Module and Comprehensive Module)"
        ),
        D10=""
    ),
    template_label_missing_value,
    IF('General Information'!E122="",
        "",
        template_label_ok
    )
)</f>
        <v>OK</v>
      </c>
    </row>
    <row r="11" spans="1:8" x14ac:dyDescent="0.3">
      <c r="C11" s="150" t="str">
        <f>template_label_temporary_contract</f>
        <v>Temporary contract</v>
      </c>
      <c r="D11" s="994">
        <f>IFERROR(IF(D10="", "-", $D$12 - $D$10), "-")</f>
        <v>41</v>
      </c>
      <c r="E11" s="995"/>
      <c r="F11" s="995"/>
      <c r="G11" s="996"/>
      <c r="H11" s="15"/>
    </row>
    <row r="12" spans="1:8" ht="15" thickBot="1" x14ac:dyDescent="0.35">
      <c r="C12" s="151" t="str">
        <f>template_label_total_employees</f>
        <v>Total employees (linked to B1)</v>
      </c>
      <c r="D12" s="997">
        <f>IF('General Information'!$E$328="", "-", VALUE(SUBSTITUTE('General Information'!$E$328, "-", "0")))</f>
        <v>151</v>
      </c>
      <c r="E12" s="997"/>
      <c r="F12" s="997"/>
      <c r="G12" s="998"/>
      <c r="H12" s="17"/>
    </row>
    <row r="13" spans="1:8" ht="15" thickBot="1" x14ac:dyDescent="0.35"/>
    <row r="14" spans="1:8" x14ac:dyDescent="0.3">
      <c r="C14" s="623" t="str">
        <f>template_label_b8_workforce_general_characteristics_gender&amp;" "&amp;template_label_always_to_be_reported</f>
        <v>B8 – Workforce – General characteristics - Gender [Always to be reported]</v>
      </c>
      <c r="D14" s="624"/>
      <c r="E14" s="624"/>
      <c r="F14" s="624"/>
      <c r="G14" s="625"/>
      <c r="H14"/>
    </row>
    <row r="15" spans="1:8" x14ac:dyDescent="0.3">
      <c r="C15" s="553" t="s">
        <v>3755</v>
      </c>
      <c r="D15" s="554"/>
      <c r="E15" s="554"/>
      <c r="F15" s="554"/>
      <c r="G15" s="555"/>
    </row>
    <row r="16" spans="1:8" x14ac:dyDescent="0.3">
      <c r="C16" s="668" t="s">
        <v>5655</v>
      </c>
      <c r="D16" s="669"/>
      <c r="E16" s="669"/>
      <c r="F16" s="669"/>
      <c r="G16" s="670"/>
    </row>
    <row r="17" spans="3:22" x14ac:dyDescent="0.3">
      <c r="C17" s="152" t="str">
        <f>template_label_gender</f>
        <v>Gender</v>
      </c>
      <c r="D17" s="979" t="str">
        <f>template_label_number_of_employees</f>
        <v>Number of employees</v>
      </c>
      <c r="E17" s="980"/>
      <c r="F17" s="980"/>
      <c r="G17" s="981"/>
    </row>
    <row r="18" spans="3:22" x14ac:dyDescent="0.3">
      <c r="C18" s="153" t="str">
        <f>template_label_male</f>
        <v>Male</v>
      </c>
      <c r="D18" s="982">
        <v>55</v>
      </c>
      <c r="E18" s="983"/>
      <c r="F18" s="983"/>
      <c r="G18" s="984"/>
      <c r="H18" s="985" t="str">
        <f>IF(
    OR(
        'General Information'!E122="Option A (Basic Module only)",
        'General Information'!E122="Option B (Basic Module and Comprehensive Module)"
    ),
    IF(
        NumberOfMaleEmployees+NumberOfFemaleEmployees+NumberOfOtherGenderEmployees+NumberOfNonReportedGenderEmployees=D22,
        template_label_ok,
        template_label_missing_value
    ),
    ""
)</f>
        <v>OK</v>
      </c>
      <c r="I18" s="969" t="str">
        <f>template_label_number_of_employees_warning</f>
        <v xml:space="preserve">ℹ️  Please make sure that the total number of employees is the same as the one provided in the "General Information" sheet cell E55
</v>
      </c>
      <c r="J18" s="969"/>
      <c r="K18" s="969"/>
      <c r="L18" s="969"/>
      <c r="M18" s="969"/>
    </row>
    <row r="19" spans="3:22" x14ac:dyDescent="0.3">
      <c r="C19" s="153" t="str">
        <f>template_label_female</f>
        <v>Female</v>
      </c>
      <c r="D19" s="982">
        <v>40</v>
      </c>
      <c r="E19" s="983"/>
      <c r="F19" s="983"/>
      <c r="G19" s="984"/>
      <c r="H19" s="985"/>
      <c r="I19" s="969"/>
      <c r="J19" s="969"/>
      <c r="K19" s="969"/>
      <c r="L19" s="969"/>
      <c r="M19" s="969"/>
    </row>
    <row r="20" spans="3:22" x14ac:dyDescent="0.3">
      <c r="C20" s="153" t="str">
        <f>template_label_other</f>
        <v>Other</v>
      </c>
      <c r="D20" s="982">
        <v>5</v>
      </c>
      <c r="E20" s="983"/>
      <c r="F20" s="983"/>
      <c r="G20" s="984"/>
      <c r="H20" s="985"/>
      <c r="I20" s="969"/>
      <c r="J20" s="969"/>
      <c r="K20" s="969"/>
      <c r="L20" s="969"/>
      <c r="M20" s="969"/>
    </row>
    <row r="21" spans="3:22" x14ac:dyDescent="0.3">
      <c r="C21" s="153" t="str">
        <f>template_label_not_reported</f>
        <v>Not reported</v>
      </c>
      <c r="D21" s="986">
        <v>51</v>
      </c>
      <c r="E21" s="987"/>
      <c r="F21" s="987"/>
      <c r="G21" s="988"/>
      <c r="H21" s="985"/>
      <c r="I21" s="969"/>
      <c r="J21" s="969"/>
      <c r="K21" s="969"/>
      <c r="L21" s="969"/>
      <c r="M21" s="969"/>
    </row>
    <row r="22" spans="3:22" ht="15" thickBot="1" x14ac:dyDescent="0.35">
      <c r="C22" s="151" t="str">
        <f>template_label_total_employees</f>
        <v>Total employees (linked to B1)</v>
      </c>
      <c r="D22" s="997">
        <f>IF('General Information'!$E$328="","-",'General Information'!$E$328)</f>
        <v>151</v>
      </c>
      <c r="E22" s="997"/>
      <c r="F22" s="997"/>
      <c r="G22" s="998"/>
      <c r="H22" s="18"/>
    </row>
    <row r="23" spans="3:22" ht="15" thickBot="1" x14ac:dyDescent="0.35"/>
    <row r="24" spans="3:22" x14ac:dyDescent="0.3">
      <c r="C24" s="999" t="str">
        <f>template_label_b8_workforce_general_characteristics_country_of_employment&amp;" "&amp;template_label_if_applicable</f>
        <v>B8 – Workforce – General characteristics - Country of employment [If applicable]</v>
      </c>
      <c r="D24" s="1000"/>
      <c r="E24" s="1000"/>
      <c r="F24" s="1000"/>
      <c r="G24" s="1000"/>
      <c r="H24" s="1001"/>
    </row>
    <row r="25" spans="3:22" x14ac:dyDescent="0.3">
      <c r="C25" s="782" t="s">
        <v>3756</v>
      </c>
      <c r="D25" s="783"/>
      <c r="E25" s="783"/>
      <c r="F25" s="783"/>
      <c r="G25" s="783"/>
      <c r="H25" s="784"/>
    </row>
    <row r="26" spans="3:22" x14ac:dyDescent="0.3">
      <c r="C26" s="713" t="s">
        <v>5655</v>
      </c>
      <c r="D26" s="714"/>
      <c r="E26" s="714"/>
      <c r="F26" s="714"/>
      <c r="G26" s="714"/>
      <c r="H26" s="715"/>
    </row>
    <row r="27" spans="3:22" x14ac:dyDescent="0.3">
      <c r="C27" s="1006" t="str">
        <f>template_label_undertaking_operating_in_more_than_one_country</f>
        <v>Does the undertaking operate in more than one country?</v>
      </c>
      <c r="D27" s="1007"/>
      <c r="E27" s="677" t="b">
        <v>1</v>
      </c>
      <c r="F27" s="678"/>
      <c r="G27" s="678"/>
      <c r="H27" s="679"/>
    </row>
    <row r="28" spans="3:22" x14ac:dyDescent="0.3">
      <c r="C28" s="1002" t="str">
        <f>template_label_country_of_employment_contract</f>
        <v>Country of employment contract</v>
      </c>
      <c r="D28" s="1003"/>
      <c r="E28" s="1004" t="str">
        <f>template_label_number_of_employees</f>
        <v>Number of employees</v>
      </c>
      <c r="F28" s="1004"/>
      <c r="G28" s="1004"/>
      <c r="H28" s="1005"/>
    </row>
    <row r="29" spans="3:22" ht="14.55" customHeight="1" x14ac:dyDescent="0.3">
      <c r="C29" s="967" t="s">
        <v>492</v>
      </c>
      <c r="D29" s="968"/>
      <c r="E29" s="965">
        <v>140</v>
      </c>
      <c r="F29" s="965"/>
      <c r="G29" s="965"/>
      <c r="H29" s="966"/>
      <c r="I29" s="15" t="str">
        <f t="shared" ref="I29:I60" si="0">IF(
    AND(C29="", E29=""),
    "",
    IF(
        AND(C29&lt;&gt;"", E29=""),
        template_label_missing_value,
        IF(
            AND(C29&lt;&gt;"", E29&lt;&gt;""),
            IF(
                SUM($E$29:$E$128)&lt;$E$129,
                template_label_missing_value,
                IF(
                    COUNTIF($C$29:$C$128, C29) &gt; 1,
                    template_label_value_inconsistency,
                    template_label_ok
                )
            ),
            template_label_missing_value
        )
    )
)</f>
        <v>OK</v>
      </c>
      <c r="J29" s="970" t="str">
        <f>template_label_number_of_employees_warning</f>
        <v xml:space="preserve">ℹ️  Please make sure that the total number of employees is the same as the one provided in the "General Information" sheet cell E55
</v>
      </c>
      <c r="K29" s="970"/>
      <c r="L29" s="970"/>
      <c r="M29" s="970"/>
      <c r="N29" s="970"/>
      <c r="O29" s="970"/>
      <c r="P29" s="970"/>
      <c r="Q29" s="970"/>
      <c r="R29" s="970"/>
      <c r="S29" s="970"/>
      <c r="T29" s="970"/>
      <c r="U29" s="970"/>
      <c r="V29" s="970"/>
    </row>
    <row r="30" spans="3:22" x14ac:dyDescent="0.3">
      <c r="C30" s="967" t="s">
        <v>124</v>
      </c>
      <c r="D30" s="968"/>
      <c r="E30" s="965">
        <v>1</v>
      </c>
      <c r="F30" s="965"/>
      <c r="G30" s="965"/>
      <c r="H30" s="966"/>
      <c r="I30" s="15" t="str">
        <f t="shared" si="0"/>
        <v>OK</v>
      </c>
      <c r="J30" s="970"/>
      <c r="K30" s="970"/>
      <c r="L30" s="970"/>
      <c r="M30" s="970"/>
      <c r="N30" s="970"/>
      <c r="O30" s="970"/>
      <c r="P30" s="970"/>
      <c r="Q30" s="970"/>
      <c r="R30" s="970"/>
      <c r="S30" s="970"/>
      <c r="T30" s="970"/>
      <c r="U30" s="970"/>
      <c r="V30" s="970"/>
    </row>
    <row r="31" spans="3:22" x14ac:dyDescent="0.3">
      <c r="C31" s="967" t="s">
        <v>64</v>
      </c>
      <c r="D31" s="968"/>
      <c r="E31" s="965">
        <v>10</v>
      </c>
      <c r="F31" s="965"/>
      <c r="G31" s="965"/>
      <c r="H31" s="966"/>
      <c r="I31" s="15" t="str">
        <f t="shared" si="0"/>
        <v>OK</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
      <c r="C32" s="967"/>
      <c r="D32" s="968"/>
      <c r="E32" s="965"/>
      <c r="F32" s="965"/>
      <c r="G32" s="965"/>
      <c r="H32" s="966"/>
      <c r="I32" s="15" t="str">
        <f t="shared" si="0"/>
        <v/>
      </c>
    </row>
    <row r="33" spans="3:9" hidden="1" outlineLevel="1" x14ac:dyDescent="0.3">
      <c r="C33" s="967"/>
      <c r="D33" s="968"/>
      <c r="E33" s="965"/>
      <c r="F33" s="965"/>
      <c r="G33" s="965"/>
      <c r="H33" s="966"/>
      <c r="I33" s="15" t="str">
        <f t="shared" si="0"/>
        <v/>
      </c>
    </row>
    <row r="34" spans="3:9" hidden="1" outlineLevel="1" x14ac:dyDescent="0.3">
      <c r="C34" s="967"/>
      <c r="D34" s="968"/>
      <c r="E34" s="965"/>
      <c r="F34" s="965"/>
      <c r="G34" s="965"/>
      <c r="H34" s="966"/>
      <c r="I34" s="15" t="str">
        <f t="shared" si="0"/>
        <v/>
      </c>
    </row>
    <row r="35" spans="3:9" hidden="1" outlineLevel="1" x14ac:dyDescent="0.3">
      <c r="C35" s="967"/>
      <c r="D35" s="968"/>
      <c r="E35" s="965"/>
      <c r="F35" s="965"/>
      <c r="G35" s="965"/>
      <c r="H35" s="966"/>
      <c r="I35" s="15" t="str">
        <f t="shared" si="0"/>
        <v/>
      </c>
    </row>
    <row r="36" spans="3:9" hidden="1" outlineLevel="1" x14ac:dyDescent="0.3">
      <c r="C36" s="967"/>
      <c r="D36" s="968"/>
      <c r="E36" s="965"/>
      <c r="F36" s="965"/>
      <c r="G36" s="965"/>
      <c r="H36" s="966"/>
      <c r="I36" s="15" t="str">
        <f t="shared" si="0"/>
        <v/>
      </c>
    </row>
    <row r="37" spans="3:9" hidden="1" outlineLevel="1" x14ac:dyDescent="0.3">
      <c r="C37" s="967"/>
      <c r="D37" s="968"/>
      <c r="E37" s="965"/>
      <c r="F37" s="965"/>
      <c r="G37" s="965"/>
      <c r="H37" s="966"/>
      <c r="I37" s="15" t="str">
        <f t="shared" si="0"/>
        <v/>
      </c>
    </row>
    <row r="38" spans="3:9" hidden="1" outlineLevel="1" x14ac:dyDescent="0.3">
      <c r="C38" s="967"/>
      <c r="D38" s="968"/>
      <c r="E38" s="965"/>
      <c r="F38" s="965"/>
      <c r="G38" s="965"/>
      <c r="H38" s="966"/>
      <c r="I38" s="15" t="str">
        <f t="shared" si="0"/>
        <v/>
      </c>
    </row>
    <row r="39" spans="3:9" hidden="1" outlineLevel="1" x14ac:dyDescent="0.3">
      <c r="C39" s="967"/>
      <c r="D39" s="968"/>
      <c r="E39" s="965"/>
      <c r="F39" s="965"/>
      <c r="G39" s="965"/>
      <c r="H39" s="966"/>
      <c r="I39" s="15" t="str">
        <f t="shared" si="0"/>
        <v/>
      </c>
    </row>
    <row r="40" spans="3:9" hidden="1" outlineLevel="1" x14ac:dyDescent="0.3">
      <c r="C40" s="967"/>
      <c r="D40" s="968"/>
      <c r="E40" s="965"/>
      <c r="F40" s="965"/>
      <c r="G40" s="965"/>
      <c r="H40" s="966"/>
      <c r="I40" s="15" t="str">
        <f t="shared" si="0"/>
        <v/>
      </c>
    </row>
    <row r="41" spans="3:9" hidden="1" outlineLevel="1" x14ac:dyDescent="0.3">
      <c r="C41" s="967"/>
      <c r="D41" s="968"/>
      <c r="E41" s="965"/>
      <c r="F41" s="965"/>
      <c r="G41" s="965"/>
      <c r="H41" s="966"/>
      <c r="I41" s="15" t="str">
        <f t="shared" si="0"/>
        <v/>
      </c>
    </row>
    <row r="42" spans="3:9" hidden="1" outlineLevel="1" x14ac:dyDescent="0.3">
      <c r="C42" s="967"/>
      <c r="D42" s="968"/>
      <c r="E42" s="965"/>
      <c r="F42" s="965"/>
      <c r="G42" s="965"/>
      <c r="H42" s="966"/>
      <c r="I42" s="15" t="str">
        <f t="shared" si="0"/>
        <v/>
      </c>
    </row>
    <row r="43" spans="3:9" hidden="1" outlineLevel="1" x14ac:dyDescent="0.3">
      <c r="C43" s="967"/>
      <c r="D43" s="968"/>
      <c r="E43" s="965"/>
      <c r="F43" s="965"/>
      <c r="G43" s="965"/>
      <c r="H43" s="966"/>
      <c r="I43" s="15" t="str">
        <f t="shared" si="0"/>
        <v/>
      </c>
    </row>
    <row r="44" spans="3:9" hidden="1" outlineLevel="1" x14ac:dyDescent="0.3">
      <c r="C44" s="967"/>
      <c r="D44" s="968"/>
      <c r="E44" s="965"/>
      <c r="F44" s="965"/>
      <c r="G44" s="965"/>
      <c r="H44" s="966"/>
      <c r="I44" s="15" t="str">
        <f t="shared" si="0"/>
        <v/>
      </c>
    </row>
    <row r="45" spans="3:9" hidden="1" outlineLevel="1" x14ac:dyDescent="0.3">
      <c r="C45" s="967"/>
      <c r="D45" s="968"/>
      <c r="E45" s="965"/>
      <c r="F45" s="965"/>
      <c r="G45" s="965"/>
      <c r="H45" s="966"/>
      <c r="I45" s="15" t="str">
        <f t="shared" si="0"/>
        <v/>
      </c>
    </row>
    <row r="46" spans="3:9" hidden="1" outlineLevel="1" x14ac:dyDescent="0.3">
      <c r="C46" s="967"/>
      <c r="D46" s="968"/>
      <c r="E46" s="965"/>
      <c r="F46" s="965"/>
      <c r="G46" s="965"/>
      <c r="H46" s="966"/>
      <c r="I46" s="15" t="str">
        <f t="shared" si="0"/>
        <v/>
      </c>
    </row>
    <row r="47" spans="3:9" hidden="1" outlineLevel="1" x14ac:dyDescent="0.3">
      <c r="C47" s="967"/>
      <c r="D47" s="968"/>
      <c r="E47" s="965"/>
      <c r="F47" s="965"/>
      <c r="G47" s="965"/>
      <c r="H47" s="966"/>
      <c r="I47" s="15" t="str">
        <f t="shared" si="0"/>
        <v/>
      </c>
    </row>
    <row r="48" spans="3:9" hidden="1" outlineLevel="1" x14ac:dyDescent="0.3">
      <c r="C48" s="967"/>
      <c r="D48" s="968"/>
      <c r="E48" s="965"/>
      <c r="F48" s="965"/>
      <c r="G48" s="965"/>
      <c r="H48" s="966"/>
      <c r="I48" s="15" t="str">
        <f t="shared" si="0"/>
        <v/>
      </c>
    </row>
    <row r="49" spans="3:9" hidden="1" outlineLevel="1" x14ac:dyDescent="0.3">
      <c r="C49" s="967"/>
      <c r="D49" s="968"/>
      <c r="E49" s="965"/>
      <c r="F49" s="965"/>
      <c r="G49" s="965"/>
      <c r="H49" s="966"/>
      <c r="I49" s="15" t="str">
        <f t="shared" si="0"/>
        <v/>
      </c>
    </row>
    <row r="50" spans="3:9" hidden="1" outlineLevel="1" x14ac:dyDescent="0.3">
      <c r="C50" s="967"/>
      <c r="D50" s="968"/>
      <c r="E50" s="965"/>
      <c r="F50" s="965"/>
      <c r="G50" s="965"/>
      <c r="H50" s="966"/>
      <c r="I50" s="15" t="str">
        <f t="shared" si="0"/>
        <v/>
      </c>
    </row>
    <row r="51" spans="3:9" hidden="1" outlineLevel="1" x14ac:dyDescent="0.3">
      <c r="C51" s="967"/>
      <c r="D51" s="968"/>
      <c r="E51" s="965"/>
      <c r="F51" s="965"/>
      <c r="G51" s="965"/>
      <c r="H51" s="966"/>
      <c r="I51" s="15" t="str">
        <f t="shared" si="0"/>
        <v/>
      </c>
    </row>
    <row r="52" spans="3:9" hidden="1" outlineLevel="1" x14ac:dyDescent="0.3">
      <c r="C52" s="967"/>
      <c r="D52" s="968"/>
      <c r="E52" s="965"/>
      <c r="F52" s="965"/>
      <c r="G52" s="965"/>
      <c r="H52" s="966"/>
      <c r="I52" s="15" t="str">
        <f t="shared" si="0"/>
        <v/>
      </c>
    </row>
    <row r="53" spans="3:9" hidden="1" outlineLevel="1" x14ac:dyDescent="0.3">
      <c r="C53" s="967"/>
      <c r="D53" s="968"/>
      <c r="E53" s="965"/>
      <c r="F53" s="965"/>
      <c r="G53" s="965"/>
      <c r="H53" s="966"/>
      <c r="I53" s="15" t="str">
        <f t="shared" si="0"/>
        <v/>
      </c>
    </row>
    <row r="54" spans="3:9" hidden="1" outlineLevel="1" x14ac:dyDescent="0.3">
      <c r="C54" s="967"/>
      <c r="D54" s="968"/>
      <c r="E54" s="965"/>
      <c r="F54" s="965"/>
      <c r="G54" s="965"/>
      <c r="H54" s="966"/>
      <c r="I54" s="15" t="str">
        <f t="shared" si="0"/>
        <v/>
      </c>
    </row>
    <row r="55" spans="3:9" hidden="1" outlineLevel="1" x14ac:dyDescent="0.3">
      <c r="C55" s="967"/>
      <c r="D55" s="968"/>
      <c r="E55" s="965"/>
      <c r="F55" s="965"/>
      <c r="G55" s="965"/>
      <c r="H55" s="966"/>
      <c r="I55" s="15" t="str">
        <f t="shared" si="0"/>
        <v/>
      </c>
    </row>
    <row r="56" spans="3:9" hidden="1" outlineLevel="1" x14ac:dyDescent="0.3">
      <c r="C56" s="967"/>
      <c r="D56" s="968"/>
      <c r="E56" s="965"/>
      <c r="F56" s="965"/>
      <c r="G56" s="965"/>
      <c r="H56" s="966"/>
      <c r="I56" s="15" t="str">
        <f t="shared" si="0"/>
        <v/>
      </c>
    </row>
    <row r="57" spans="3:9" hidden="1" outlineLevel="1" x14ac:dyDescent="0.3">
      <c r="C57" s="967"/>
      <c r="D57" s="968"/>
      <c r="E57" s="965"/>
      <c r="F57" s="965"/>
      <c r="G57" s="965"/>
      <c r="H57" s="966"/>
      <c r="I57" s="15" t="str">
        <f t="shared" si="0"/>
        <v/>
      </c>
    </row>
    <row r="58" spans="3:9" hidden="1" outlineLevel="1" x14ac:dyDescent="0.3">
      <c r="C58" s="967"/>
      <c r="D58" s="968"/>
      <c r="E58" s="965"/>
      <c r="F58" s="965"/>
      <c r="G58" s="965"/>
      <c r="H58" s="966"/>
      <c r="I58" s="15" t="str">
        <f t="shared" si="0"/>
        <v/>
      </c>
    </row>
    <row r="59" spans="3:9" hidden="1" outlineLevel="1" x14ac:dyDescent="0.3">
      <c r="C59" s="967"/>
      <c r="D59" s="968"/>
      <c r="E59" s="965"/>
      <c r="F59" s="965"/>
      <c r="G59" s="965"/>
      <c r="H59" s="966"/>
      <c r="I59" s="15" t="str">
        <f t="shared" si="0"/>
        <v/>
      </c>
    </row>
    <row r="60" spans="3:9" hidden="1" outlineLevel="1" x14ac:dyDescent="0.3">
      <c r="C60" s="967"/>
      <c r="D60" s="968"/>
      <c r="E60" s="965"/>
      <c r="F60" s="965"/>
      <c r="G60" s="965"/>
      <c r="H60" s="966"/>
      <c r="I60" s="15" t="str">
        <f t="shared" si="0"/>
        <v/>
      </c>
    </row>
    <row r="61" spans="3:9" hidden="1" outlineLevel="1" x14ac:dyDescent="0.3">
      <c r="C61" s="967"/>
      <c r="D61" s="968"/>
      <c r="E61" s="965"/>
      <c r="F61" s="965"/>
      <c r="G61" s="965"/>
      <c r="H61" s="966"/>
      <c r="I61" s="15" t="str">
        <f t="shared" ref="I61:I92" si="1">IF(
    AND(C61="", E61=""),
    "",
    IF(
        AND(C61&lt;&gt;"", E61=""),
        template_label_missing_value,
        IF(
            AND(C61&lt;&gt;"", E61&lt;&gt;""),
            IF(
                SUM($E$29:$E$128)&lt;$E$129,
                template_label_missing_value,
                IF(
                    COUNTIF($C$29:$C$128, C61) &gt; 1,
                    template_label_value_inconsistency,
                    template_label_ok
                )
            ),
            template_label_missing_value
        )
    )
)</f>
        <v/>
      </c>
    </row>
    <row r="62" spans="3:9" hidden="1" outlineLevel="1" x14ac:dyDescent="0.3">
      <c r="C62" s="967"/>
      <c r="D62" s="968"/>
      <c r="E62" s="965"/>
      <c r="F62" s="965"/>
      <c r="G62" s="965"/>
      <c r="H62" s="966"/>
      <c r="I62" s="15" t="str">
        <f t="shared" si="1"/>
        <v/>
      </c>
    </row>
    <row r="63" spans="3:9" hidden="1" outlineLevel="1" x14ac:dyDescent="0.3">
      <c r="C63" s="967"/>
      <c r="D63" s="968"/>
      <c r="E63" s="965"/>
      <c r="F63" s="965"/>
      <c r="G63" s="965"/>
      <c r="H63" s="966"/>
      <c r="I63" s="15" t="str">
        <f t="shared" si="1"/>
        <v/>
      </c>
    </row>
    <row r="64" spans="3:9" hidden="1" outlineLevel="1" x14ac:dyDescent="0.3">
      <c r="C64" s="967"/>
      <c r="D64" s="968"/>
      <c r="E64" s="965"/>
      <c r="F64" s="965"/>
      <c r="G64" s="965"/>
      <c r="H64" s="966"/>
      <c r="I64" s="15" t="str">
        <f t="shared" si="1"/>
        <v/>
      </c>
    </row>
    <row r="65" spans="3:9" hidden="1" outlineLevel="1" x14ac:dyDescent="0.3">
      <c r="C65" s="967"/>
      <c r="D65" s="968"/>
      <c r="E65" s="965"/>
      <c r="F65" s="965"/>
      <c r="G65" s="965"/>
      <c r="H65" s="966"/>
      <c r="I65" s="15" t="str">
        <f t="shared" si="1"/>
        <v/>
      </c>
    </row>
    <row r="66" spans="3:9" hidden="1" outlineLevel="1" x14ac:dyDescent="0.3">
      <c r="C66" s="967"/>
      <c r="D66" s="968"/>
      <c r="E66" s="965"/>
      <c r="F66" s="965"/>
      <c r="G66" s="965"/>
      <c r="H66" s="966"/>
      <c r="I66" s="15" t="str">
        <f t="shared" si="1"/>
        <v/>
      </c>
    </row>
    <row r="67" spans="3:9" hidden="1" outlineLevel="1" x14ac:dyDescent="0.3">
      <c r="C67" s="967"/>
      <c r="D67" s="968"/>
      <c r="E67" s="965"/>
      <c r="F67" s="965"/>
      <c r="G67" s="965"/>
      <c r="H67" s="966"/>
      <c r="I67" s="15" t="str">
        <f t="shared" si="1"/>
        <v/>
      </c>
    </row>
    <row r="68" spans="3:9" hidden="1" outlineLevel="1" x14ac:dyDescent="0.3">
      <c r="C68" s="967"/>
      <c r="D68" s="968"/>
      <c r="E68" s="965"/>
      <c r="F68" s="965"/>
      <c r="G68" s="965"/>
      <c r="H68" s="966"/>
      <c r="I68" s="15" t="str">
        <f t="shared" si="1"/>
        <v/>
      </c>
    </row>
    <row r="69" spans="3:9" hidden="1" outlineLevel="1" x14ac:dyDescent="0.3">
      <c r="C69" s="967"/>
      <c r="D69" s="968"/>
      <c r="E69" s="965"/>
      <c r="F69" s="965"/>
      <c r="G69" s="965"/>
      <c r="H69" s="966"/>
      <c r="I69" s="15" t="str">
        <f t="shared" si="1"/>
        <v/>
      </c>
    </row>
    <row r="70" spans="3:9" hidden="1" outlineLevel="1" x14ac:dyDescent="0.3">
      <c r="C70" s="967"/>
      <c r="D70" s="968"/>
      <c r="E70" s="965"/>
      <c r="F70" s="965"/>
      <c r="G70" s="965"/>
      <c r="H70" s="966"/>
      <c r="I70" s="15" t="str">
        <f t="shared" si="1"/>
        <v/>
      </c>
    </row>
    <row r="71" spans="3:9" hidden="1" outlineLevel="1" x14ac:dyDescent="0.3">
      <c r="C71" s="967"/>
      <c r="D71" s="968"/>
      <c r="E71" s="965"/>
      <c r="F71" s="965"/>
      <c r="G71" s="965"/>
      <c r="H71" s="966"/>
      <c r="I71" s="15" t="str">
        <f t="shared" si="1"/>
        <v/>
      </c>
    </row>
    <row r="72" spans="3:9" hidden="1" outlineLevel="1" x14ac:dyDescent="0.3">
      <c r="C72" s="967"/>
      <c r="D72" s="968"/>
      <c r="E72" s="965"/>
      <c r="F72" s="965"/>
      <c r="G72" s="965"/>
      <c r="H72" s="966"/>
      <c r="I72" s="15" t="str">
        <f t="shared" si="1"/>
        <v/>
      </c>
    </row>
    <row r="73" spans="3:9" hidden="1" outlineLevel="1" x14ac:dyDescent="0.3">
      <c r="C73" s="967"/>
      <c r="D73" s="968"/>
      <c r="E73" s="965"/>
      <c r="F73" s="965"/>
      <c r="G73" s="965"/>
      <c r="H73" s="966"/>
      <c r="I73" s="15" t="str">
        <f t="shared" si="1"/>
        <v/>
      </c>
    </row>
    <row r="74" spans="3:9" hidden="1" outlineLevel="1" x14ac:dyDescent="0.3">
      <c r="C74" s="967"/>
      <c r="D74" s="968"/>
      <c r="E74" s="965"/>
      <c r="F74" s="965"/>
      <c r="G74" s="965"/>
      <c r="H74" s="966"/>
      <c r="I74" s="15" t="str">
        <f t="shared" si="1"/>
        <v/>
      </c>
    </row>
    <row r="75" spans="3:9" hidden="1" outlineLevel="1" x14ac:dyDescent="0.3">
      <c r="C75" s="967"/>
      <c r="D75" s="968"/>
      <c r="E75" s="965"/>
      <c r="F75" s="965"/>
      <c r="G75" s="965"/>
      <c r="H75" s="966"/>
      <c r="I75" s="15" t="str">
        <f t="shared" si="1"/>
        <v/>
      </c>
    </row>
    <row r="76" spans="3:9" hidden="1" outlineLevel="1" x14ac:dyDescent="0.3">
      <c r="C76" s="967"/>
      <c r="D76" s="968"/>
      <c r="E76" s="965"/>
      <c r="F76" s="965"/>
      <c r="G76" s="965"/>
      <c r="H76" s="966"/>
      <c r="I76" s="15" t="str">
        <f t="shared" si="1"/>
        <v/>
      </c>
    </row>
    <row r="77" spans="3:9" hidden="1" outlineLevel="1" x14ac:dyDescent="0.3">
      <c r="C77" s="967"/>
      <c r="D77" s="968"/>
      <c r="E77" s="965"/>
      <c r="F77" s="965"/>
      <c r="G77" s="965"/>
      <c r="H77" s="966"/>
      <c r="I77" s="15" t="str">
        <f t="shared" si="1"/>
        <v/>
      </c>
    </row>
    <row r="78" spans="3:9" hidden="1" outlineLevel="1" x14ac:dyDescent="0.3">
      <c r="C78" s="967"/>
      <c r="D78" s="968"/>
      <c r="E78" s="965"/>
      <c r="F78" s="965"/>
      <c r="G78" s="965"/>
      <c r="H78" s="966"/>
      <c r="I78" s="15" t="str">
        <f t="shared" si="1"/>
        <v/>
      </c>
    </row>
    <row r="79" spans="3:9" hidden="1" outlineLevel="1" x14ac:dyDescent="0.3">
      <c r="C79" s="967"/>
      <c r="D79" s="968"/>
      <c r="E79" s="965"/>
      <c r="F79" s="965"/>
      <c r="G79" s="965"/>
      <c r="H79" s="966"/>
      <c r="I79" s="15" t="str">
        <f t="shared" si="1"/>
        <v/>
      </c>
    </row>
    <row r="80" spans="3:9" hidden="1" outlineLevel="1" x14ac:dyDescent="0.3">
      <c r="C80" s="967"/>
      <c r="D80" s="968"/>
      <c r="E80" s="965"/>
      <c r="F80" s="965"/>
      <c r="G80" s="965"/>
      <c r="H80" s="966"/>
      <c r="I80" s="15" t="str">
        <f t="shared" si="1"/>
        <v/>
      </c>
    </row>
    <row r="81" spans="3:9" hidden="1" outlineLevel="1" x14ac:dyDescent="0.3">
      <c r="C81" s="967"/>
      <c r="D81" s="968"/>
      <c r="E81" s="965"/>
      <c r="F81" s="965"/>
      <c r="G81" s="965"/>
      <c r="H81" s="966"/>
      <c r="I81" s="15" t="str">
        <f t="shared" si="1"/>
        <v/>
      </c>
    </row>
    <row r="82" spans="3:9" hidden="1" outlineLevel="1" x14ac:dyDescent="0.3">
      <c r="C82" s="967"/>
      <c r="D82" s="968"/>
      <c r="E82" s="965"/>
      <c r="F82" s="965"/>
      <c r="G82" s="965"/>
      <c r="H82" s="966"/>
      <c r="I82" s="15" t="str">
        <f t="shared" si="1"/>
        <v/>
      </c>
    </row>
    <row r="83" spans="3:9" hidden="1" outlineLevel="1" x14ac:dyDescent="0.3">
      <c r="C83" s="967"/>
      <c r="D83" s="968"/>
      <c r="E83" s="965"/>
      <c r="F83" s="965"/>
      <c r="G83" s="965"/>
      <c r="H83" s="966"/>
      <c r="I83" s="15" t="str">
        <f t="shared" si="1"/>
        <v/>
      </c>
    </row>
    <row r="84" spans="3:9" hidden="1" outlineLevel="1" x14ac:dyDescent="0.3">
      <c r="C84" s="967"/>
      <c r="D84" s="968"/>
      <c r="E84" s="965"/>
      <c r="F84" s="965"/>
      <c r="G84" s="965"/>
      <c r="H84" s="966"/>
      <c r="I84" s="15" t="str">
        <f t="shared" si="1"/>
        <v/>
      </c>
    </row>
    <row r="85" spans="3:9" hidden="1" outlineLevel="1" x14ac:dyDescent="0.3">
      <c r="C85" s="967"/>
      <c r="D85" s="968"/>
      <c r="E85" s="965"/>
      <c r="F85" s="965"/>
      <c r="G85" s="965"/>
      <c r="H85" s="966"/>
      <c r="I85" s="15" t="str">
        <f t="shared" si="1"/>
        <v/>
      </c>
    </row>
    <row r="86" spans="3:9" hidden="1" outlineLevel="1" x14ac:dyDescent="0.3">
      <c r="C86" s="967"/>
      <c r="D86" s="968"/>
      <c r="E86" s="965"/>
      <c r="F86" s="965"/>
      <c r="G86" s="965"/>
      <c r="H86" s="966"/>
      <c r="I86" s="15" t="str">
        <f t="shared" si="1"/>
        <v/>
      </c>
    </row>
    <row r="87" spans="3:9" hidden="1" outlineLevel="1" x14ac:dyDescent="0.3">
      <c r="C87" s="967"/>
      <c r="D87" s="968"/>
      <c r="E87" s="965"/>
      <c r="F87" s="965"/>
      <c r="G87" s="965"/>
      <c r="H87" s="966"/>
      <c r="I87" s="15" t="str">
        <f t="shared" si="1"/>
        <v/>
      </c>
    </row>
    <row r="88" spans="3:9" hidden="1" outlineLevel="1" x14ac:dyDescent="0.3">
      <c r="C88" s="967"/>
      <c r="D88" s="968"/>
      <c r="E88" s="965"/>
      <c r="F88" s="965"/>
      <c r="G88" s="965"/>
      <c r="H88" s="966"/>
      <c r="I88" s="15" t="str">
        <f t="shared" si="1"/>
        <v/>
      </c>
    </row>
    <row r="89" spans="3:9" hidden="1" outlineLevel="1" x14ac:dyDescent="0.3">
      <c r="C89" s="967"/>
      <c r="D89" s="968"/>
      <c r="E89" s="965"/>
      <c r="F89" s="965"/>
      <c r="G89" s="965"/>
      <c r="H89" s="966"/>
      <c r="I89" s="15" t="str">
        <f t="shared" si="1"/>
        <v/>
      </c>
    </row>
    <row r="90" spans="3:9" hidden="1" outlineLevel="1" x14ac:dyDescent="0.3">
      <c r="C90" s="967"/>
      <c r="D90" s="968"/>
      <c r="E90" s="965"/>
      <c r="F90" s="965"/>
      <c r="G90" s="965"/>
      <c r="H90" s="966"/>
      <c r="I90" s="15" t="str">
        <f t="shared" si="1"/>
        <v/>
      </c>
    </row>
    <row r="91" spans="3:9" hidden="1" outlineLevel="1" x14ac:dyDescent="0.3">
      <c r="C91" s="967"/>
      <c r="D91" s="968"/>
      <c r="E91" s="965"/>
      <c r="F91" s="965"/>
      <c r="G91" s="965"/>
      <c r="H91" s="966"/>
      <c r="I91" s="15" t="str">
        <f t="shared" si="1"/>
        <v/>
      </c>
    </row>
    <row r="92" spans="3:9" hidden="1" outlineLevel="1" x14ac:dyDescent="0.3">
      <c r="C92" s="967"/>
      <c r="D92" s="968"/>
      <c r="E92" s="965"/>
      <c r="F92" s="965"/>
      <c r="G92" s="965"/>
      <c r="H92" s="966"/>
      <c r="I92" s="15" t="str">
        <f t="shared" si="1"/>
        <v/>
      </c>
    </row>
    <row r="93" spans="3:9" hidden="1" outlineLevel="1" x14ac:dyDescent="0.3">
      <c r="C93" s="967"/>
      <c r="D93" s="968"/>
      <c r="E93" s="965"/>
      <c r="F93" s="965"/>
      <c r="G93" s="965"/>
      <c r="H93" s="966"/>
      <c r="I93" s="15" t="str">
        <f t="shared" ref="I93:I128" si="2">IF(
    AND(C93="", E93=""),
    "",
    IF(
        AND(C93&lt;&gt;"", E93=""),
        template_label_missing_value,
        IF(
            AND(C93&lt;&gt;"", E93&lt;&gt;""),
            IF(
                SUM($E$29:$E$128)&lt;$E$129,
                template_label_missing_value,
                IF(
                    COUNTIF($C$29:$C$128, C93) &gt; 1,
                    template_label_value_inconsistency,
                    template_label_ok
                )
            ),
            template_label_missing_value
        )
    )
)</f>
        <v/>
      </c>
    </row>
    <row r="94" spans="3:9" hidden="1" outlineLevel="1" x14ac:dyDescent="0.3">
      <c r="C94" s="967"/>
      <c r="D94" s="968"/>
      <c r="E94" s="965"/>
      <c r="F94" s="965"/>
      <c r="G94" s="965"/>
      <c r="H94" s="966"/>
      <c r="I94" s="15" t="str">
        <f t="shared" si="2"/>
        <v/>
      </c>
    </row>
    <row r="95" spans="3:9" hidden="1" outlineLevel="1" x14ac:dyDescent="0.3">
      <c r="C95" s="967"/>
      <c r="D95" s="968"/>
      <c r="E95" s="965"/>
      <c r="F95" s="965"/>
      <c r="G95" s="965"/>
      <c r="H95" s="966"/>
      <c r="I95" s="15" t="str">
        <f t="shared" si="2"/>
        <v/>
      </c>
    </row>
    <row r="96" spans="3:9" hidden="1" outlineLevel="1" x14ac:dyDescent="0.3">
      <c r="C96" s="967"/>
      <c r="D96" s="968"/>
      <c r="E96" s="965"/>
      <c r="F96" s="965"/>
      <c r="G96" s="965"/>
      <c r="H96" s="966"/>
      <c r="I96" s="15" t="str">
        <f t="shared" si="2"/>
        <v/>
      </c>
    </row>
    <row r="97" spans="3:9" hidden="1" outlineLevel="1" x14ac:dyDescent="0.3">
      <c r="C97" s="967"/>
      <c r="D97" s="968"/>
      <c r="E97" s="965"/>
      <c r="F97" s="965"/>
      <c r="G97" s="965"/>
      <c r="H97" s="966"/>
      <c r="I97" s="15" t="str">
        <f t="shared" si="2"/>
        <v/>
      </c>
    </row>
    <row r="98" spans="3:9" hidden="1" outlineLevel="1" x14ac:dyDescent="0.3">
      <c r="C98" s="967"/>
      <c r="D98" s="968"/>
      <c r="E98" s="965"/>
      <c r="F98" s="965"/>
      <c r="G98" s="965"/>
      <c r="H98" s="966"/>
      <c r="I98" s="15" t="str">
        <f t="shared" si="2"/>
        <v/>
      </c>
    </row>
    <row r="99" spans="3:9" hidden="1" outlineLevel="1" x14ac:dyDescent="0.3">
      <c r="C99" s="967"/>
      <c r="D99" s="968"/>
      <c r="E99" s="965"/>
      <c r="F99" s="965"/>
      <c r="G99" s="965"/>
      <c r="H99" s="966"/>
      <c r="I99" s="15" t="str">
        <f t="shared" si="2"/>
        <v/>
      </c>
    </row>
    <row r="100" spans="3:9" hidden="1" outlineLevel="1" x14ac:dyDescent="0.3">
      <c r="C100" s="967"/>
      <c r="D100" s="968"/>
      <c r="E100" s="965"/>
      <c r="F100" s="965"/>
      <c r="G100" s="965"/>
      <c r="H100" s="966"/>
      <c r="I100" s="15" t="str">
        <f t="shared" si="2"/>
        <v/>
      </c>
    </row>
    <row r="101" spans="3:9" hidden="1" outlineLevel="1" x14ac:dyDescent="0.3">
      <c r="C101" s="967"/>
      <c r="D101" s="968"/>
      <c r="E101" s="965"/>
      <c r="F101" s="965"/>
      <c r="G101" s="965"/>
      <c r="H101" s="966"/>
      <c r="I101" s="15" t="str">
        <f t="shared" si="2"/>
        <v/>
      </c>
    </row>
    <row r="102" spans="3:9" hidden="1" outlineLevel="1" x14ac:dyDescent="0.3">
      <c r="C102" s="967"/>
      <c r="D102" s="968"/>
      <c r="E102" s="965"/>
      <c r="F102" s="965"/>
      <c r="G102" s="965"/>
      <c r="H102" s="966"/>
      <c r="I102" s="15" t="str">
        <f t="shared" si="2"/>
        <v/>
      </c>
    </row>
    <row r="103" spans="3:9" hidden="1" outlineLevel="1" x14ac:dyDescent="0.3">
      <c r="C103" s="967"/>
      <c r="D103" s="968"/>
      <c r="E103" s="965"/>
      <c r="F103" s="965"/>
      <c r="G103" s="965"/>
      <c r="H103" s="966"/>
      <c r="I103" s="15" t="str">
        <f t="shared" si="2"/>
        <v/>
      </c>
    </row>
    <row r="104" spans="3:9" hidden="1" outlineLevel="1" x14ac:dyDescent="0.3">
      <c r="C104" s="967"/>
      <c r="D104" s="968"/>
      <c r="E104" s="965"/>
      <c r="F104" s="965"/>
      <c r="G104" s="965"/>
      <c r="H104" s="966"/>
      <c r="I104" s="15" t="str">
        <f t="shared" si="2"/>
        <v/>
      </c>
    </row>
    <row r="105" spans="3:9" hidden="1" outlineLevel="1" x14ac:dyDescent="0.3">
      <c r="C105" s="967"/>
      <c r="D105" s="968"/>
      <c r="E105" s="965"/>
      <c r="F105" s="965"/>
      <c r="G105" s="965"/>
      <c r="H105" s="966"/>
      <c r="I105" s="15" t="str">
        <f t="shared" si="2"/>
        <v/>
      </c>
    </row>
    <row r="106" spans="3:9" hidden="1" outlineLevel="1" x14ac:dyDescent="0.3">
      <c r="C106" s="967"/>
      <c r="D106" s="968"/>
      <c r="E106" s="965"/>
      <c r="F106" s="965"/>
      <c r="G106" s="965"/>
      <c r="H106" s="966"/>
      <c r="I106" s="15" t="str">
        <f t="shared" si="2"/>
        <v/>
      </c>
    </row>
    <row r="107" spans="3:9" hidden="1" outlineLevel="1" x14ac:dyDescent="0.3">
      <c r="C107" s="967"/>
      <c r="D107" s="968"/>
      <c r="E107" s="965"/>
      <c r="F107" s="965"/>
      <c r="G107" s="965"/>
      <c r="H107" s="966"/>
      <c r="I107" s="15" t="str">
        <f t="shared" si="2"/>
        <v/>
      </c>
    </row>
    <row r="108" spans="3:9" hidden="1" outlineLevel="1" x14ac:dyDescent="0.3">
      <c r="C108" s="967"/>
      <c r="D108" s="968"/>
      <c r="E108" s="965"/>
      <c r="F108" s="965"/>
      <c r="G108" s="965"/>
      <c r="H108" s="966"/>
      <c r="I108" s="15" t="str">
        <f t="shared" si="2"/>
        <v/>
      </c>
    </row>
    <row r="109" spans="3:9" hidden="1" outlineLevel="1" x14ac:dyDescent="0.3">
      <c r="C109" s="967"/>
      <c r="D109" s="968"/>
      <c r="E109" s="965"/>
      <c r="F109" s="965"/>
      <c r="G109" s="965"/>
      <c r="H109" s="966"/>
      <c r="I109" s="15" t="str">
        <f t="shared" si="2"/>
        <v/>
      </c>
    </row>
    <row r="110" spans="3:9" hidden="1" outlineLevel="1" x14ac:dyDescent="0.3">
      <c r="C110" s="967"/>
      <c r="D110" s="968"/>
      <c r="E110" s="965"/>
      <c r="F110" s="965"/>
      <c r="G110" s="965"/>
      <c r="H110" s="966"/>
      <c r="I110" s="15" t="str">
        <f t="shared" si="2"/>
        <v/>
      </c>
    </row>
    <row r="111" spans="3:9" hidden="1" outlineLevel="1" x14ac:dyDescent="0.3">
      <c r="C111" s="967"/>
      <c r="D111" s="968"/>
      <c r="E111" s="965"/>
      <c r="F111" s="965"/>
      <c r="G111" s="965"/>
      <c r="H111" s="966"/>
      <c r="I111" s="15" t="str">
        <f t="shared" si="2"/>
        <v/>
      </c>
    </row>
    <row r="112" spans="3:9" hidden="1" outlineLevel="1" x14ac:dyDescent="0.3">
      <c r="C112" s="967"/>
      <c r="D112" s="968"/>
      <c r="E112" s="965"/>
      <c r="F112" s="965"/>
      <c r="G112" s="965"/>
      <c r="H112" s="966"/>
      <c r="I112" s="15" t="str">
        <f t="shared" si="2"/>
        <v/>
      </c>
    </row>
    <row r="113" spans="3:9" hidden="1" outlineLevel="1" x14ac:dyDescent="0.3">
      <c r="C113" s="967"/>
      <c r="D113" s="968"/>
      <c r="E113" s="965"/>
      <c r="F113" s="965"/>
      <c r="G113" s="965"/>
      <c r="H113" s="966"/>
      <c r="I113" s="15" t="str">
        <f t="shared" si="2"/>
        <v/>
      </c>
    </row>
    <row r="114" spans="3:9" hidden="1" outlineLevel="1" x14ac:dyDescent="0.3">
      <c r="C114" s="967"/>
      <c r="D114" s="968"/>
      <c r="E114" s="965"/>
      <c r="F114" s="965"/>
      <c r="G114" s="965"/>
      <c r="H114" s="966"/>
      <c r="I114" s="15" t="str">
        <f t="shared" si="2"/>
        <v/>
      </c>
    </row>
    <row r="115" spans="3:9" hidden="1" outlineLevel="1" x14ac:dyDescent="0.3">
      <c r="C115" s="967"/>
      <c r="D115" s="968"/>
      <c r="E115" s="965"/>
      <c r="F115" s="965"/>
      <c r="G115" s="965"/>
      <c r="H115" s="966"/>
      <c r="I115" s="15" t="str">
        <f t="shared" si="2"/>
        <v/>
      </c>
    </row>
    <row r="116" spans="3:9" hidden="1" outlineLevel="1" x14ac:dyDescent="0.3">
      <c r="C116" s="967"/>
      <c r="D116" s="968"/>
      <c r="E116" s="965"/>
      <c r="F116" s="965"/>
      <c r="G116" s="965"/>
      <c r="H116" s="966"/>
      <c r="I116" s="15" t="str">
        <f t="shared" si="2"/>
        <v/>
      </c>
    </row>
    <row r="117" spans="3:9" hidden="1" outlineLevel="1" x14ac:dyDescent="0.3">
      <c r="C117" s="967"/>
      <c r="D117" s="968"/>
      <c r="E117" s="965"/>
      <c r="F117" s="965"/>
      <c r="G117" s="965"/>
      <c r="H117" s="966"/>
      <c r="I117" s="15" t="str">
        <f t="shared" si="2"/>
        <v/>
      </c>
    </row>
    <row r="118" spans="3:9" hidden="1" outlineLevel="1" x14ac:dyDescent="0.3">
      <c r="C118" s="967"/>
      <c r="D118" s="968"/>
      <c r="E118" s="965"/>
      <c r="F118" s="965"/>
      <c r="G118" s="965"/>
      <c r="H118" s="966"/>
      <c r="I118" s="15" t="str">
        <f t="shared" si="2"/>
        <v/>
      </c>
    </row>
    <row r="119" spans="3:9" hidden="1" outlineLevel="1" x14ac:dyDescent="0.3">
      <c r="C119" s="967"/>
      <c r="D119" s="968"/>
      <c r="E119" s="965"/>
      <c r="F119" s="965"/>
      <c r="G119" s="965"/>
      <c r="H119" s="966"/>
      <c r="I119" s="15" t="str">
        <f t="shared" si="2"/>
        <v/>
      </c>
    </row>
    <row r="120" spans="3:9" hidden="1" outlineLevel="1" x14ac:dyDescent="0.3">
      <c r="C120" s="967"/>
      <c r="D120" s="968"/>
      <c r="E120" s="965"/>
      <c r="F120" s="965"/>
      <c r="G120" s="965"/>
      <c r="H120" s="966"/>
      <c r="I120" s="15" t="str">
        <f t="shared" si="2"/>
        <v/>
      </c>
    </row>
    <row r="121" spans="3:9" hidden="1" outlineLevel="1" x14ac:dyDescent="0.3">
      <c r="C121" s="967"/>
      <c r="D121" s="968"/>
      <c r="E121" s="965"/>
      <c r="F121" s="965"/>
      <c r="G121" s="965"/>
      <c r="H121" s="966"/>
      <c r="I121" s="15" t="str">
        <f t="shared" si="2"/>
        <v/>
      </c>
    </row>
    <row r="122" spans="3:9" hidden="1" outlineLevel="1" x14ac:dyDescent="0.3">
      <c r="C122" s="967"/>
      <c r="D122" s="968"/>
      <c r="E122" s="965"/>
      <c r="F122" s="965"/>
      <c r="G122" s="965"/>
      <c r="H122" s="966"/>
      <c r="I122" s="15" t="str">
        <f t="shared" si="2"/>
        <v/>
      </c>
    </row>
    <row r="123" spans="3:9" hidden="1" outlineLevel="1" x14ac:dyDescent="0.3">
      <c r="C123" s="967"/>
      <c r="D123" s="968"/>
      <c r="E123" s="965"/>
      <c r="F123" s="965"/>
      <c r="G123" s="965"/>
      <c r="H123" s="966"/>
      <c r="I123" s="15" t="str">
        <f t="shared" si="2"/>
        <v/>
      </c>
    </row>
    <row r="124" spans="3:9" hidden="1" outlineLevel="1" x14ac:dyDescent="0.3">
      <c r="C124" s="967"/>
      <c r="D124" s="968"/>
      <c r="E124" s="965"/>
      <c r="F124" s="965"/>
      <c r="G124" s="965"/>
      <c r="H124" s="966"/>
      <c r="I124" s="15" t="str">
        <f t="shared" si="2"/>
        <v/>
      </c>
    </row>
    <row r="125" spans="3:9" hidden="1" outlineLevel="1" x14ac:dyDescent="0.3">
      <c r="C125" s="967"/>
      <c r="D125" s="968"/>
      <c r="E125" s="965"/>
      <c r="F125" s="965"/>
      <c r="G125" s="965"/>
      <c r="H125" s="966"/>
      <c r="I125" s="15" t="str">
        <f t="shared" si="2"/>
        <v/>
      </c>
    </row>
    <row r="126" spans="3:9" hidden="1" outlineLevel="1" x14ac:dyDescent="0.3">
      <c r="C126" s="967"/>
      <c r="D126" s="968"/>
      <c r="E126" s="965"/>
      <c r="F126" s="965"/>
      <c r="G126" s="965"/>
      <c r="H126" s="966"/>
      <c r="I126" s="15" t="str">
        <f t="shared" si="2"/>
        <v/>
      </c>
    </row>
    <row r="127" spans="3:9" hidden="1" outlineLevel="1" x14ac:dyDescent="0.3">
      <c r="C127" s="967"/>
      <c r="D127" s="968"/>
      <c r="E127" s="965"/>
      <c r="F127" s="965"/>
      <c r="G127" s="965"/>
      <c r="H127" s="966"/>
      <c r="I127" s="15" t="str">
        <f t="shared" si="2"/>
        <v/>
      </c>
    </row>
    <row r="128" spans="3:9" hidden="1" outlineLevel="1" x14ac:dyDescent="0.3">
      <c r="C128" s="967"/>
      <c r="D128" s="968"/>
      <c r="E128" s="965"/>
      <c r="F128" s="965"/>
      <c r="G128" s="965"/>
      <c r="H128" s="966"/>
      <c r="I128" s="15" t="str">
        <f t="shared" si="2"/>
        <v/>
      </c>
    </row>
    <row r="129" spans="1:10" ht="15" collapsed="1" thickBot="1" x14ac:dyDescent="0.35">
      <c r="C129" s="1012" t="str">
        <f>template_label_total_employees</f>
        <v>Total employees (linked to B1)</v>
      </c>
      <c r="D129" s="1013"/>
      <c r="E129" s="1014">
        <f>IF('General Information'!$E$328="","-",'General Information'!$E$328)</f>
        <v>151</v>
      </c>
      <c r="F129" s="1014"/>
      <c r="G129" s="1014"/>
      <c r="H129" s="998"/>
      <c r="I129" s="15"/>
    </row>
    <row r="130" spans="1:10" ht="15" thickBot="1" x14ac:dyDescent="0.35"/>
    <row r="131" spans="1:10" x14ac:dyDescent="0.3">
      <c r="C131" s="999"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2024-01-01 to 2024-12-31 [If applicable]</v>
      </c>
      <c r="D131" s="1000"/>
      <c r="E131" s="1000"/>
      <c r="F131" s="1000"/>
      <c r="G131" s="1000"/>
      <c r="H131" s="1001"/>
    </row>
    <row r="132" spans="1:10" x14ac:dyDescent="0.3">
      <c r="C132" s="553">
        <v>40</v>
      </c>
      <c r="D132" s="554"/>
      <c r="E132" s="554"/>
      <c r="F132" s="554"/>
      <c r="G132" s="554"/>
      <c r="H132" s="555"/>
    </row>
    <row r="133" spans="1:10" x14ac:dyDescent="0.3">
      <c r="C133" s="668">
        <v>118</v>
      </c>
      <c r="D133" s="669"/>
      <c r="E133" s="669"/>
      <c r="F133" s="669"/>
      <c r="G133" s="669"/>
      <c r="H133" s="670"/>
    </row>
    <row r="134" spans="1:10" x14ac:dyDescent="0.3">
      <c r="C134" s="154" t="str">
        <f>template_label_number_of_employees_who_left_during_the_reporting_period</f>
        <v>Number of employees who left during the reporting period</v>
      </c>
      <c r="D134" s="1008">
        <v>50</v>
      </c>
      <c r="E134" s="1008"/>
      <c r="F134" s="1008"/>
      <c r="G134" s="1008"/>
      <c r="H134" s="1009"/>
      <c r="I134" s="15" t="str">
        <f>IF(
    AND('General Information'!$E$328&lt;50, D134=""),
    "",
    IF(
        AND('General Information'!$E$328&lt;50, D134&lt;&gt;""),
        template_label_ok,
        IF(
            AND('General Information'!$E$328&gt;=50, D134&lt;&gt;""),
            template_label_ok,
            template_label_missing_value
        )
    )
)</f>
        <v>OK</v>
      </c>
    </row>
    <row r="135" spans="1:10" x14ac:dyDescent="0.3">
      <c r="C135" s="154" t="str">
        <f>template_label_number_of_employees_at_the_beginning_of_the_reporting_period</f>
        <v>Number of employees at the beginning of the reporting period</v>
      </c>
      <c r="D135" s="1008">
        <v>201</v>
      </c>
      <c r="E135" s="1008"/>
      <c r="F135" s="1008"/>
      <c r="G135" s="1008"/>
      <c r="H135" s="1009"/>
      <c r="I135" s="15" t="str">
        <f>IF(
    AND('General Information'!$E$328&lt;50, D135=""),
    "",
    IF(
        AND('General Information'!$E$328&lt;50, D135&lt;&gt;""),
        template_label_ok,
        IF(
            AND('General Information'!$E$328&gt;=50, D135&lt;&gt;""),
            template_label_ok,
            template_label_missing_value
        )
    )
)</f>
        <v>OK</v>
      </c>
    </row>
    <row r="136" spans="1:10" x14ac:dyDescent="0.3">
      <c r="C136" s="154" t="str">
        <f>template_label_number_of_employees_at_the_end_of_the_reporting_period</f>
        <v>Number of employees at the end of the reporting period</v>
      </c>
      <c r="D136" s="1008">
        <v>151</v>
      </c>
      <c r="E136" s="1008"/>
      <c r="F136" s="1008"/>
      <c r="G136" s="1008"/>
      <c r="H136" s="1009"/>
      <c r="I136" s="15" t="str">
        <f>IF(
    AND('General Information'!$E$328&lt;50, D136=""),
    "",
    IF(
        AND('General Information'!$E$328&lt;50, D136&lt;&gt;""),
        template_label_ok,
        IF(
            AND('General Information'!$E$328&gt;=50, D136&lt;&gt;""),
            template_label_ok,
            template_label_missing_value
        )
    )
)</f>
        <v>OK</v>
      </c>
    </row>
    <row r="137" spans="1:10" ht="15" thickBot="1" x14ac:dyDescent="0.35">
      <c r="C137" s="100" t="str">
        <f>template_label_employee_turnover_rate_in_the_reporting_period</f>
        <v>Employee turnover rate [%]  in the reporting period</v>
      </c>
      <c r="D137" s="1010">
        <f>IF(AND(D134&lt;&gt;"",D135&lt;&gt;"",D136&lt;&gt;""),(D134/((D135+D136)/2)),"-")</f>
        <v>0.28409090909090912</v>
      </c>
      <c r="E137" s="1010"/>
      <c r="F137" s="1010"/>
      <c r="G137" s="1010"/>
      <c r="H137" s="1011"/>
    </row>
    <row r="138" spans="1:10" ht="15" thickBot="1" x14ac:dyDescent="0.35"/>
    <row r="139" spans="1:10" ht="15" thickBot="1" x14ac:dyDescent="0.35">
      <c r="C139" s="662" t="str">
        <f>template_label_b9_workforce_health_and_safety&amp;" "&amp;template_label_from&amp;" "&amp;template_starting_date_display&amp;" "&amp;template_label_to&amp;" "&amp;template_ending_date_display&amp;" "&amp;template_label_always_to_be_reported</f>
        <v>B9 – Workforce – Health and safety from 2024-01-01 to 2024-12-31 [Always to be reported]</v>
      </c>
      <c r="D139" s="663"/>
      <c r="E139" s="663"/>
      <c r="F139" s="663"/>
      <c r="G139" s="663"/>
      <c r="H139" s="664"/>
    </row>
    <row r="140" spans="1:10" x14ac:dyDescent="0.3">
      <c r="A140" s="441" t="s">
        <v>3757</v>
      </c>
      <c r="B140" s="444" t="s">
        <v>5656</v>
      </c>
      <c r="C140" s="259" t="str">
        <f>template_label_number_of_recordable_work_related_accidents_in_the_reporting_period</f>
        <v>Number of recordable work-related accidents in the reporting period</v>
      </c>
      <c r="D140" s="1031">
        <v>0</v>
      </c>
      <c r="E140" s="1031"/>
      <c r="F140" s="1031"/>
      <c r="G140" s="1031"/>
      <c r="H140" s="1032"/>
      <c r="I140" s="15" t="str">
        <f>IF(
    AND(
        OR('General Information'!E122="Option A (Basic Module only)", 'General Information'!E122="Option B (Basic Module and Comprehensive Module)"),
        NumberOfRecordableWorkRelatedAccidentsInTheReportingPeriod=""
    ),
    template_label_missing_value,
    IF('General Information'!E122="", "", template_label_ok)
)</f>
        <v>OK</v>
      </c>
    </row>
    <row r="141" spans="1:10" x14ac:dyDescent="0.3">
      <c r="A141" s="441" t="s">
        <v>3757</v>
      </c>
      <c r="B141" s="444" t="s">
        <v>5656</v>
      </c>
      <c r="C141" s="155" t="str">
        <f>template_label_number_of_hours_worked_by_one_fulltime_employee_in_the_reporting_period</f>
        <v>Number of hours worked by  one full-time employee in the reporting period</v>
      </c>
      <c r="D141" s="1033">
        <v>2000</v>
      </c>
      <c r="E141" s="1034"/>
      <c r="F141" s="1034"/>
      <c r="G141" s="1034"/>
      <c r="H141" s="1035"/>
      <c r="I141" s="15" t="str">
        <f>IF(D141="", "MISSING VALUE", IF(D141&lt;&gt;2000, "OK", ""))</f>
        <v/>
      </c>
      <c r="J14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142" spans="1:10" x14ac:dyDescent="0.3">
      <c r="A142" s="441" t="s">
        <v>3757</v>
      </c>
      <c r="B142" s="444" t="s">
        <v>5656</v>
      </c>
      <c r="C142" s="155" t="str">
        <f>template_label_total_number_of_hours_worked_in_a_year_by_all_employees_in_the_reporting_period</f>
        <v>Total number of hours worked in a year by all employees in the reporting period</v>
      </c>
      <c r="D142" s="1036">
        <f>IF('General Information'!E328="","-",D141*'General Information'!E328)</f>
        <v>302000</v>
      </c>
      <c r="E142" s="1037"/>
      <c r="F142" s="1037"/>
      <c r="G142" s="1037"/>
      <c r="H142" s="1038"/>
      <c r="I142" s="15"/>
    </row>
    <row r="143" spans="1:10" ht="15" thickBot="1" x14ac:dyDescent="0.35">
      <c r="A143" s="441" t="s">
        <v>3757</v>
      </c>
      <c r="B143" s="444" t="s">
        <v>5656</v>
      </c>
      <c r="C143" s="214" t="str">
        <f>template_label_rate_of_recordable_work_related_accidents_in_the_reporting_period</f>
        <v>Rate of recordable work-related accidents in the reporting period</v>
      </c>
      <c r="D143" s="1039">
        <f>IFERROR(IF(AND(D140&lt;&gt;"", D142&lt;&gt;""), ($D$140/$D$142)*200000, "-"), "-")</f>
        <v>0</v>
      </c>
      <c r="E143" s="1040"/>
      <c r="F143" s="1040"/>
      <c r="G143" s="1040"/>
      <c r="H143" s="1041"/>
    </row>
    <row r="144" spans="1:10" ht="15" thickBot="1" x14ac:dyDescent="0.35">
      <c r="A144" s="441" t="s">
        <v>3758</v>
      </c>
      <c r="B144" s="444" t="s">
        <v>5656</v>
      </c>
      <c r="C144" s="213" t="str">
        <f>template_label_number_of_fatalities_as_a_result_of_work_related_injuries_and_work_related_ill_health</f>
        <v>Number of fatalities as a result of work-related injuries and work-related ill health</v>
      </c>
      <c r="D144" s="1015">
        <v>0</v>
      </c>
      <c r="E144" s="1015"/>
      <c r="F144" s="1015"/>
      <c r="G144" s="1015"/>
      <c r="H144" s="1016"/>
      <c r="I144" s="15" t="str">
        <f>IF(
    AND(
        OR('General Information'!E122="Option A (Basic Module only)", 'General Information'!E122="Option B (Basic Module and Comprehensive Module)"),
        NumberOfFatalitiesAsAResultOfWorkRelatedInjuriesAndWorkRelatedIllHealth=""
    ),
    template_label_missing_value,
    IF('General Information'!E122="", "", template_label_ok)
)</f>
        <v>OK</v>
      </c>
    </row>
    <row r="145" spans="1:9" ht="15" thickBot="1" x14ac:dyDescent="0.35"/>
    <row r="146" spans="1:9" x14ac:dyDescent="0.3">
      <c r="C146" s="1017" t="str">
        <f>template_label_b10_workforce_remuneration_collective_bargaining_and_training&amp;" "&amp;template_label_from&amp;" "&amp;template_starting_date_display&amp;" "&amp;template_label_to&amp;" "&amp;template_ending_date_display&amp;" "&amp;template_label_always_to_be_reported_if_applicable</f>
        <v>B10 – Workforce – Remuneration collective bargaining and training from 2024-01-01 to 2024-12-31 [Always to be reported + If applicable]</v>
      </c>
      <c r="D146" s="1018"/>
      <c r="E146" s="1018"/>
      <c r="F146" s="1018"/>
      <c r="G146" s="1018"/>
      <c r="H146" s="1019"/>
    </row>
    <row r="147" spans="1:9" ht="29.4" thickBot="1" x14ac:dyDescent="0.35">
      <c r="A147" s="441" t="s">
        <v>3759</v>
      </c>
      <c r="B147" s="441" t="s">
        <v>5657</v>
      </c>
      <c r="C147" s="211" t="str">
        <f>template_label_employees_receive_pay_that_is_equal_or_above_applicable_minimum_wage</f>
        <v>Employees receive pay that is equal or above applicable minimum wage determined directly by the national minimum wage law or through a collective bargaining agreement</v>
      </c>
      <c r="D147" s="1020" t="s">
        <v>2906</v>
      </c>
      <c r="E147" s="1020"/>
      <c r="F147" s="1020"/>
      <c r="G147" s="1020"/>
      <c r="H147" s="1021"/>
      <c r="I147" s="15" t="str">
        <f>IF(
    AND(
        OR('General Information'!E122="Option A (Basic Module only)", 'General Information'!E122="Option B (Basic Module and Comprehensive Module)"),
        EmployeesReceivePayEqualOrAboveMinimumWageDeterminedByNationalLawOrCollectiveAgreement=""
    ),
    template_label_missing_value,
    IF('General Information'!E122="", "", template_label_ok)
)</f>
        <v>OK</v>
      </c>
    </row>
    <row r="148" spans="1:9" x14ac:dyDescent="0.3">
      <c r="A148" s="451" t="s">
        <v>3760</v>
      </c>
      <c r="B148" s="453" t="s">
        <v>5658</v>
      </c>
      <c r="C148" s="212" t="str">
        <f>template_label_average_gross_hourly_pay_level_of_male_employees &amp; " " &amp; "(" &amp; template_label_amount_in &amp; " " &amp; template_currency &amp; ")"</f>
        <v>Average gross hourly pay level of male employees (amount in EUR)</v>
      </c>
      <c r="D148" s="1022">
        <v>20</v>
      </c>
      <c r="E148" s="1023"/>
      <c r="F148" s="1023"/>
      <c r="G148" s="1023"/>
      <c r="H148" s="1024"/>
      <c r="I148" s="15" t="str">
        <f>IF(
    AND('General Information'!$E$328&lt;150, D148=""),
    "",
    IF(
        AND('General Information'!$E$328&lt;150, D148&lt;&gt;""),
        template_label_ok,
        IF(
            AND('General Information'!$E$328&gt;=150, D148&lt;&gt;""),
            template_label_ok,
            template_label_missing_value
        )
    )
)</f>
        <v>OK</v>
      </c>
    </row>
    <row r="149" spans="1:9" x14ac:dyDescent="0.3">
      <c r="A149" s="451" t="s">
        <v>3760</v>
      </c>
      <c r="B149" s="453" t="s">
        <v>5658</v>
      </c>
      <c r="C149" s="156" t="str">
        <f>template_label_average_gross_hourly_pay_level_of_female_employees &amp; " " &amp; "(" &amp; template_label_amount_in &amp; " " &amp; template_currency &amp; ")"</f>
        <v>Average gross hourly pay level of female employees (amount in EUR)</v>
      </c>
      <c r="D149" s="1025">
        <v>18</v>
      </c>
      <c r="E149" s="1026"/>
      <c r="F149" s="1026"/>
      <c r="G149" s="1026"/>
      <c r="H149" s="1027"/>
      <c r="I149" s="15" t="str">
        <f>IF(
    AND('General Information'!$E$328&lt;150, D149=""),
    "",
    IF(
        AND('General Information'!$E$328&lt;150, D149&lt;&gt;""),
        template_label_ok,
        IF(
            AND('General Information'!$E$328&gt;=150, D149&lt;&gt;""),
            template_label_ok,
            template_label_missing_value
        )
    )
)</f>
        <v>OK</v>
      </c>
    </row>
    <row r="150" spans="1:9" ht="15" thickBot="1" x14ac:dyDescent="0.35">
      <c r="A150" s="451" t="s">
        <v>3760</v>
      </c>
      <c r="B150" s="453" t="s">
        <v>5658</v>
      </c>
      <c r="C150" s="157" t="str">
        <f>template_label_percentage_gap_in_pay_between_the__undertakings_female_and_male_employees</f>
        <v>Percentage gap in pay between the  undertaking's female and male employees [%]</v>
      </c>
      <c r="D150" s="1028">
        <f>IF(AND(D148&lt;&gt;"",D149&lt;&gt;""),((D148-D149)/D148),"-")</f>
        <v>0.1</v>
      </c>
      <c r="E150" s="1029"/>
      <c r="F150" s="1029"/>
      <c r="G150" s="1029"/>
      <c r="H150" s="1030"/>
    </row>
    <row r="151" spans="1:9" x14ac:dyDescent="0.3">
      <c r="A151" s="636" t="s">
        <v>3761</v>
      </c>
      <c r="B151" s="989" t="s">
        <v>5659</v>
      </c>
      <c r="C151" s="210" t="str">
        <f>template_label_number_of_employees_covered_by_collective_bargaining_agreements</f>
        <v>Number of employees covered by collective bargaining agreements</v>
      </c>
      <c r="D151" s="1048">
        <v>140</v>
      </c>
      <c r="E151" s="1049"/>
      <c r="F151" s="1049"/>
      <c r="G151" s="1049"/>
      <c r="H151" s="1050"/>
      <c r="I151" s="15" t="str">
        <f>IF(
    AND(
        OR('General Information'!E122="Option A (Basic Module only)", 'General Information'!E122="Option B (Basic Module and Comprehensive Module)"),
        D151=""
    ),
    template_label_missing_value,
    IF('General Information'!E122="", "", template_label_ok)
)</f>
        <v>OK</v>
      </c>
    </row>
    <row r="152" spans="1:9" ht="15" thickBot="1" x14ac:dyDescent="0.35">
      <c r="A152" s="1047"/>
      <c r="B152" s="770"/>
      <c r="C152" s="157" t="str">
        <f>template_label_percentage_of_employees_covered_by_collective_bargaining_agreements</f>
        <v>Percentage of employees covered by collective bargaining agreements [%]</v>
      </c>
      <c r="D152" s="1051">
        <f>IF(D151&lt;&gt;"", IF('General Information'!E328=0, "-", D151/'General Information'!E328), "-")</f>
        <v>0.92715231788079466</v>
      </c>
      <c r="E152" s="1052"/>
      <c r="F152" s="1052"/>
      <c r="G152" s="1052"/>
      <c r="H152" s="1053"/>
    </row>
    <row r="153" spans="1:9" ht="15" thickBot="1" x14ac:dyDescent="0.35"/>
    <row r="154" spans="1:9" x14ac:dyDescent="0.3">
      <c r="C154" s="1017" t="str">
        <f>template_label_number_of_annual_training_hours_per_employee_during_the_reporting_period&amp;" "&amp;template_label_from&amp;" "&amp;template_starting_date_display&amp;" "&amp;template_label_to&amp;" "&amp;template_ending_date_display&amp;" "&amp;template_label_always_to_be_reported</f>
        <v>B10 – Number of annual training hours per employee during the reporting period from 2024-01-01 to 2024-12-31 [Always to be reported]</v>
      </c>
      <c r="D154" s="1018"/>
      <c r="E154" s="1018"/>
      <c r="F154" s="1018"/>
      <c r="G154" s="1018"/>
      <c r="H154" s="1019"/>
    </row>
    <row r="155" spans="1:9" x14ac:dyDescent="0.3">
      <c r="C155" s="553" t="s">
        <v>3762</v>
      </c>
      <c r="D155" s="554"/>
      <c r="E155" s="554"/>
      <c r="F155" s="554"/>
      <c r="G155" s="554"/>
      <c r="H155" s="555"/>
    </row>
    <row r="156" spans="1:9" x14ac:dyDescent="0.3">
      <c r="C156" s="152" t="str">
        <f>template_label_gender</f>
        <v>Gender</v>
      </c>
      <c r="D156" s="1042" t="str">
        <f>template_label_number_of_annual_training_hours_per_employee_during_the_reporting_period</f>
        <v>B10 – Number of annual training hours per employee during the reporting period</v>
      </c>
      <c r="E156" s="1042"/>
      <c r="F156" s="1042"/>
      <c r="G156" s="1042"/>
      <c r="H156" s="1043"/>
      <c r="I156" s="15"/>
    </row>
    <row r="157" spans="1:9" x14ac:dyDescent="0.3">
      <c r="C157" s="153" t="str">
        <f>template_label_male</f>
        <v>Male</v>
      </c>
      <c r="D157" s="1044">
        <v>100</v>
      </c>
      <c r="E157" s="1044"/>
      <c r="F157" s="1044"/>
      <c r="G157" s="1044"/>
      <c r="H157" s="1045"/>
      <c r="I157" s="1046" t="str">
        <f>IF(
    OR('General Information'!E122="Option A (Basic Module only)", 'General Information'!E122="Option B (Basic Module and Comprehensive Module)"),
    IF(OR(D157&lt;&gt;"", D158&lt;&gt;"", D159&lt;&gt;"", D160&lt;&gt;""), template_label_ok, template_label_missing_value),
    ""
)</f>
        <v>OK</v>
      </c>
    </row>
    <row r="158" spans="1:9" x14ac:dyDescent="0.3">
      <c r="C158" s="153" t="str">
        <f>template_label_female</f>
        <v>Female</v>
      </c>
      <c r="D158" s="1044">
        <v>150</v>
      </c>
      <c r="E158" s="1044"/>
      <c r="F158" s="1044"/>
      <c r="G158" s="1044"/>
      <c r="H158" s="1045"/>
      <c r="I158" s="1046"/>
    </row>
    <row r="159" spans="1:9" x14ac:dyDescent="0.3">
      <c r="C159" s="153" t="str">
        <f>template_label_other</f>
        <v>Other</v>
      </c>
      <c r="D159" s="1044">
        <v>140</v>
      </c>
      <c r="E159" s="1044"/>
      <c r="F159" s="1044"/>
      <c r="G159" s="1044"/>
      <c r="H159" s="1045"/>
      <c r="I159" s="1046"/>
    </row>
    <row r="160" spans="1:9" x14ac:dyDescent="0.3">
      <c r="C160" s="153" t="str">
        <f>template_label_not_reported</f>
        <v>Not reported</v>
      </c>
      <c r="D160" s="1044">
        <v>120</v>
      </c>
      <c r="E160" s="1044"/>
      <c r="F160" s="1044"/>
      <c r="G160" s="1044"/>
      <c r="H160" s="1045"/>
      <c r="I160" s="1046"/>
    </row>
    <row r="161" spans="1:9" x14ac:dyDescent="0.3">
      <c r="C161" s="1071" t="str">
        <f>template_label_average_number_of_annual_training_hours_per_employee</f>
        <v>Average number of annual training hours per employee</v>
      </c>
      <c r="D161" s="1072"/>
      <c r="E161" s="1072"/>
      <c r="F161" s="1072"/>
      <c r="G161" s="1072"/>
      <c r="H161" s="1073"/>
      <c r="I161" s="15"/>
    </row>
    <row r="162" spans="1:9" ht="15" thickBot="1" x14ac:dyDescent="0.35">
      <c r="C162" s="1074">
        <f>IFERROR(
    IF(
        AND(D18&lt;&gt;"",D18&lt;&gt;0,D19&lt;&gt;"",D19&lt;&gt;0,D20&lt;&gt;"",D20&lt;&gt;0,D21&lt;&gt;"",D21&lt;&gt;0),
        AVERAGE(D157:D160),
        IF(OR(D18="", D18=0), AVERAGE(D158:D160),
        IF(OR(D19="", D19=0), AVERAGE(D157,D159,D160),
        IF(OR(D20="", D20=0), AVERAGE(D157,D158,D160),
        IF(OR(D21="", D21=0), AVERAGE(D157,D158,D159), "-"))))
    ),
"-")</f>
        <v>127.5</v>
      </c>
      <c r="D162" s="1075"/>
      <c r="E162" s="1075"/>
      <c r="F162" s="1075"/>
      <c r="G162" s="1075"/>
      <c r="H162" s="1076"/>
      <c r="I162" s="15"/>
    </row>
    <row r="163" spans="1:9" ht="15" thickBot="1" x14ac:dyDescent="0.35"/>
    <row r="164" spans="1:9" ht="15" thickBot="1" x14ac:dyDescent="0.35">
      <c r="C164" s="1077" t="str">
        <f>template_label_c5_additional_workforce_characteristics&amp;" "&amp;template_label_from&amp;" "&amp;template_starting_date_display&amp;" "&amp;template_label_to&amp;" "&amp;template_ending_date_display&amp;" " &amp; template_label_may</f>
        <v>C5 – Additional (general) workforce characteristics from 2024-01-01 to 2024-12-31 [May (optional)]</v>
      </c>
      <c r="D164" s="1078"/>
      <c r="E164" s="1078"/>
      <c r="F164" s="1078"/>
      <c r="G164" s="1078"/>
      <c r="H164" s="1079"/>
    </row>
    <row r="165" spans="1:9" x14ac:dyDescent="0.3">
      <c r="A165" s="451">
        <v>59</v>
      </c>
      <c r="B165" s="452" t="s">
        <v>5660</v>
      </c>
      <c r="C165" s="158" t="str">
        <f>template_label_number_of_male_employees_at_management_level</f>
        <v>Number of male employees at management level</v>
      </c>
      <c r="D165" s="1022">
        <v>5</v>
      </c>
      <c r="E165" s="1023"/>
      <c r="F165" s="1023"/>
      <c r="G165" s="1023"/>
      <c r="H165" s="1024"/>
      <c r="I165" s="15" t="str">
        <f>IF(D165&lt;&gt;"", template_label_ok, "")</f>
        <v>OK</v>
      </c>
    </row>
    <row r="166" spans="1:9" x14ac:dyDescent="0.3">
      <c r="A166" s="451">
        <v>59</v>
      </c>
      <c r="B166" s="452" t="s">
        <v>5660</v>
      </c>
      <c r="C166" s="159" t="str">
        <f>template_label_number_of_female_employees_at_management_level</f>
        <v>Number of female employees at management level</v>
      </c>
      <c r="D166" s="1025">
        <v>4</v>
      </c>
      <c r="E166" s="1026"/>
      <c r="F166" s="1026"/>
      <c r="G166" s="1026"/>
      <c r="H166" s="1027"/>
      <c r="I166" s="15" t="str">
        <f>IF(D166&lt;&gt;"", template_label_ok, "")</f>
        <v>OK</v>
      </c>
    </row>
    <row r="167" spans="1:9" ht="15" thickBot="1" x14ac:dyDescent="0.35">
      <c r="A167" s="451">
        <v>59</v>
      </c>
      <c r="B167" s="452" t="s">
        <v>5660</v>
      </c>
      <c r="C167" s="157" t="str">
        <f>template_label_female_to_male_ratio_at_management_level_for_the_reporting_period</f>
        <v>Female-to-male ratio at management level for the reporting period</v>
      </c>
      <c r="D167" s="1080">
        <f>IF(AND(D165&lt;&gt;"",D166&lt;&gt;""),$D$166/$D$165,"-")</f>
        <v>0.8</v>
      </c>
      <c r="E167" s="1081"/>
      <c r="F167" s="1081"/>
      <c r="G167" s="1081"/>
      <c r="H167" s="1082"/>
    </row>
    <row r="168" spans="1:9" ht="28.8" x14ac:dyDescent="0.3">
      <c r="A168" s="441">
        <v>60</v>
      </c>
      <c r="B168" s="449" t="s">
        <v>5661</v>
      </c>
      <c r="C168" s="160" t="str">
        <f>template_label_total_self_employed_workers_without_personnel_that_are_working_exclusively_for_the_undertaking</f>
        <v>Total self-employed workers without personnel that are working exclusively for the undertaking</v>
      </c>
      <c r="D168" s="1054">
        <v>4</v>
      </c>
      <c r="E168" s="1055"/>
      <c r="F168" s="1055"/>
      <c r="G168" s="1055"/>
      <c r="H168" s="1056"/>
      <c r="I168" s="15" t="str">
        <f>IF(D168&lt;&gt;"", template_label_ok, "")</f>
        <v>OK</v>
      </c>
    </row>
    <row r="169" spans="1:9" ht="29.4" thickBot="1" x14ac:dyDescent="0.35">
      <c r="A169" s="441">
        <v>60</v>
      </c>
      <c r="B169" s="450" t="s">
        <v>5661</v>
      </c>
      <c r="C169" s="161" t="str">
        <f>template_label_total_temporary_workers_provided_by_undertakings_primarily_engaged_in_employment_activities</f>
        <v>Total temporary workers provided by undertakings primarily engaged in employment activities</v>
      </c>
      <c r="D169" s="1057">
        <v>50</v>
      </c>
      <c r="E169" s="1058"/>
      <c r="F169" s="1058"/>
      <c r="G169" s="1058"/>
      <c r="H169" s="1059"/>
      <c r="I169" s="15" t="str">
        <f>IF(D169&lt;&gt;"", template_label_ok, "")</f>
        <v>OK</v>
      </c>
    </row>
    <row r="170" spans="1:9" ht="15" thickBot="1" x14ac:dyDescent="0.35"/>
    <row r="171" spans="1:9" x14ac:dyDescent="0.3">
      <c r="C171" s="1060"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2024-01-01 to 2024-12-31 [Always to be reported]</v>
      </c>
      <c r="D171" s="1061"/>
      <c r="E171" s="1061"/>
      <c r="F171" s="1061"/>
      <c r="G171" s="1061"/>
      <c r="H171" s="1062"/>
    </row>
    <row r="172" spans="1:9" x14ac:dyDescent="0.3">
      <c r="A172" s="441" t="s">
        <v>3763</v>
      </c>
      <c r="B172" s="449">
        <v>173</v>
      </c>
      <c r="C172" s="162" t="str">
        <f>template_label_does_the_undertaking_have_a_code_of_conduct_or_human_rights_policy_for_its_own_workforce</f>
        <v>Does the undertaking have a code of conduct or human rights policy for its own workforce?</v>
      </c>
      <c r="D172" s="1063" t="s">
        <v>2906</v>
      </c>
      <c r="E172" s="1064"/>
      <c r="F172" s="1064"/>
      <c r="G172" s="1064"/>
      <c r="H172" s="1065"/>
      <c r="I172" s="15" t="str">
        <f>IF(
    AND('General Information'!$E$122="Option B (Basic Module and Comprehensive Module)", D172&lt;&gt;""),
    template_label_ok,
    IF(
        AND('General Information'!$E$122="Option B (Basic Module and Comprehensive Module)", D172=""),
        template_label_missing_value,
        IF(
            AND('General Information'!$E$122="Option A (Basic Module only)", D172&lt;&gt;""),
            template_label_ok,
            ""
        )
    )
)</f>
        <v>OK</v>
      </c>
    </row>
    <row r="173" spans="1:9" x14ac:dyDescent="0.3">
      <c r="A173" s="442" t="s">
        <v>3764</v>
      </c>
      <c r="B173" s="449">
        <v>173</v>
      </c>
      <c r="C173" s="126" t="str">
        <f>template_label_if_yes_does_this_cover</f>
        <v>If yes does this cover:</v>
      </c>
      <c r="D173" s="1066"/>
      <c r="E173" s="1067"/>
      <c r="F173" s="1067"/>
      <c r="G173" s="1067"/>
      <c r="H173" s="1068"/>
    </row>
    <row r="174" spans="1:9" x14ac:dyDescent="0.3">
      <c r="A174" s="442" t="s">
        <v>3764</v>
      </c>
      <c r="B174" s="449">
        <v>173</v>
      </c>
      <c r="C174" s="163" t="str">
        <f>template_label_child_labour</f>
        <v>· child labour</v>
      </c>
      <c r="D174" s="1069" t="b">
        <v>1</v>
      </c>
      <c r="E174" s="1069"/>
      <c r="F174" s="1069"/>
      <c r="G174" s="1069"/>
      <c r="H174" s="1070"/>
      <c r="I174" s="1046" t="str">
        <f>IF(
    AND(OR(D174=TRUE,D175=TRUE,D176=TRUE,D177=TRUE,D178=TRUE,D179=TRUE), D172="YES"),
    template_label_ok,
    IF(
        AND(D174=FALSE,D175=FALSE,D176=FALSE,D177=FALSE,D178=FALSE,D179=FALSE, D172="YES"),
        template_label_missing_value,
        IF(
            AND(D174=FALSE,D175=FALSE,D176=FALSE,D177=FALSE,D178=FALSE,D179=FALSE, D172="NO"),
            "",
            IF(
                AND(D174=FALSE,D175=FALSE,D176=FALSE,D177=FALSE,D178=FALSE,D179=FALSE, D172=""),
                "",
                IF(
                    AND(OR(D174=TRUE,D175=TRUE,D176=TRUE,D177=TRUE,D178=TRUE,D179=TRUE), D172=""),
                    "",
                    template_label_value_inconsistency
                )
            )
        )
    )
)</f>
        <v>OK</v>
      </c>
    </row>
    <row r="175" spans="1:9" x14ac:dyDescent="0.3">
      <c r="A175" s="442" t="s">
        <v>3764</v>
      </c>
      <c r="B175" s="449">
        <v>173</v>
      </c>
      <c r="C175" s="163" t="str">
        <f>template_label_forced_labour</f>
        <v>· forced labour</v>
      </c>
      <c r="D175" s="1069" t="b">
        <v>1</v>
      </c>
      <c r="E175" s="1069"/>
      <c r="F175" s="1069"/>
      <c r="G175" s="1069"/>
      <c r="H175" s="1070"/>
      <c r="I175" s="1046"/>
    </row>
    <row r="176" spans="1:9" x14ac:dyDescent="0.3">
      <c r="A176" s="442" t="s">
        <v>3764</v>
      </c>
      <c r="B176" s="449">
        <v>173</v>
      </c>
      <c r="C176" s="163" t="str">
        <f>template_label_human_trafficking</f>
        <v>· human trafficking</v>
      </c>
      <c r="D176" s="1069" t="b">
        <v>1</v>
      </c>
      <c r="E176" s="1069"/>
      <c r="F176" s="1069"/>
      <c r="G176" s="1069"/>
      <c r="H176" s="1070"/>
      <c r="I176" s="1046"/>
    </row>
    <row r="177" spans="1:10" x14ac:dyDescent="0.3">
      <c r="A177" s="442" t="s">
        <v>3764</v>
      </c>
      <c r="B177" s="449">
        <v>173</v>
      </c>
      <c r="C177" s="163" t="str">
        <f>template_label_discrimination</f>
        <v>· discrimination</v>
      </c>
      <c r="D177" s="1069" t="b">
        <v>1</v>
      </c>
      <c r="E177" s="1069"/>
      <c r="F177" s="1069"/>
      <c r="G177" s="1069"/>
      <c r="H177" s="1070"/>
      <c r="I177" s="1046"/>
    </row>
    <row r="178" spans="1:10" x14ac:dyDescent="0.3">
      <c r="A178" s="442" t="s">
        <v>3764</v>
      </c>
      <c r="B178" s="449">
        <v>173</v>
      </c>
      <c r="C178" s="164" t="str">
        <f>template_label_accident_prevention</f>
        <v>· accident prevention</v>
      </c>
      <c r="D178" s="1091" t="b">
        <v>1</v>
      </c>
      <c r="E178" s="1069"/>
      <c r="F178" s="1069"/>
      <c r="G178" s="1069"/>
      <c r="H178" s="1070"/>
      <c r="I178" s="1046"/>
    </row>
    <row r="179" spans="1:10" x14ac:dyDescent="0.3">
      <c r="A179" s="442" t="s">
        <v>3764</v>
      </c>
      <c r="B179" s="449">
        <v>173</v>
      </c>
      <c r="C179" s="165" t="str">
        <f>template_label_other_if_yes_specify</f>
        <v>· other? ( if yes specify)</v>
      </c>
      <c r="D179" s="1069" t="b">
        <v>0</v>
      </c>
      <c r="E179" s="1069"/>
      <c r="F179" s="1069"/>
      <c r="G179" s="1069"/>
      <c r="H179" s="1070"/>
      <c r="I179" s="1046"/>
      <c r="J179" s="10" t="str">
        <f>template_label_other_warning</f>
        <v>ℹ️ When "other" is chosen as undertaking legal form please fill the row below</v>
      </c>
    </row>
    <row r="180" spans="1:10" ht="33.6" customHeight="1" x14ac:dyDescent="0.3">
      <c r="A180" s="442" t="s">
        <v>3764</v>
      </c>
      <c r="B180" s="449">
        <v>173</v>
      </c>
      <c r="C180" s="98" t="str">
        <f>template_label_specify_other_types_of_content_covered_by_the_code_of_conduct_or_human_rights_policy</f>
        <v>Specify other types of content covered by the code of conduct or human rights policy</v>
      </c>
      <c r="D180" s="1083"/>
      <c r="E180" s="1083"/>
      <c r="F180" s="1083"/>
      <c r="G180" s="1083"/>
      <c r="H180" s="1084"/>
      <c r="I180" s="15" t="str">
        <f>IF(AND(D179=TRUE,D180&lt;&gt;""), template_label_ok,
IF(AND(D179=TRUE,D180=""), template_label_missing_value,
IF(AND(D179=FALSE,D180&lt;&gt;""), template_label_missing_value,
"")))</f>
        <v/>
      </c>
    </row>
    <row r="181" spans="1:10" ht="31.2" customHeight="1" thickBot="1" x14ac:dyDescent="0.35">
      <c r="A181" s="444" t="s">
        <v>3765</v>
      </c>
      <c r="B181" s="450">
        <v>173</v>
      </c>
      <c r="C181" s="166" t="str">
        <f>template_label_does_the_undertaking_have_a_complaint_handling_mechanism_for_its_own_workforce</f>
        <v>Does the undertaking have a complaint-handling mechanism for its own workforce?</v>
      </c>
      <c r="D181" s="1085" t="s">
        <v>2906</v>
      </c>
      <c r="E181" s="1086"/>
      <c r="F181" s="1086"/>
      <c r="G181" s="1086"/>
      <c r="H181" s="1087"/>
      <c r="I181" s="15" t="str">
        <f>IF(AND('General Information'!$E$122="Option B (Basic Module and Comprehensive Module)",D181&lt;&gt;""), template_label_ok,
IF(AND('General Information'!$E$122="Option B (Basic Module and Comprehensive Module)",D181=""), template_label_missing_value,
IF(AND('General Information'!$E$122="Option A (Basic Module only)",D181&lt;&gt;""), template_label_ok,
"")))</f>
        <v>OK</v>
      </c>
    </row>
    <row r="182" spans="1:10" ht="15" thickBot="1" x14ac:dyDescent="0.35"/>
    <row r="183" spans="1:10" x14ac:dyDescent="0.3">
      <c r="C183" s="1060" t="str">
        <f>template_label_c7_severe_negative_human_rights_incidents&amp;" "&amp;template_label_from&amp;" "&amp;template_starting_date_display&amp;" "&amp;template_label_to&amp;" "&amp;template_ending_date_display&amp;" "&amp;template_label_always_to_be_reported</f>
        <v>C7 – Severe negative human rights incidents from 2024-01-01 to 2024-12-31 [Always to be reported]</v>
      </c>
      <c r="D183" s="1061"/>
      <c r="E183" s="1061"/>
      <c r="F183" s="1061"/>
      <c r="G183" s="1061"/>
      <c r="H183" s="1062"/>
    </row>
    <row r="184" spans="1:10" x14ac:dyDescent="0.3">
      <c r="A184" s="441">
        <v>62</v>
      </c>
      <c r="B184" s="449">
        <v>174</v>
      </c>
      <c r="C184" s="167" t="str">
        <f>template_label_does_the_undertaking_have_confirmed_incidents_in_its_own_workforce</f>
        <v>Does the undertaking have confirmed incidents in its own workforce?</v>
      </c>
      <c r="D184" s="706" t="s">
        <v>2907</v>
      </c>
      <c r="E184" s="706"/>
      <c r="F184" s="706"/>
      <c r="G184" s="706"/>
      <c r="H184" s="1088"/>
      <c r="I184" s="15" t="str">
        <f>IF(AND('General Information'!$E$122="Option B (Basic Module and Comprehensive Module)",D184&lt;&gt;""), template_label_ok,
IF(AND('General Information'!$E$122="Option B (Basic Module and Comprehensive Module)",D184=""), template_label_missing_value,
IF(AND('General Information'!$E$122="Option A (Basic Module only)",D184&lt;&gt;""), template_label_ok,
"")))</f>
        <v>OK</v>
      </c>
    </row>
    <row r="185" spans="1:10" x14ac:dyDescent="0.3">
      <c r="A185" s="441" t="s">
        <v>3766</v>
      </c>
      <c r="B185" s="449">
        <v>174</v>
      </c>
      <c r="C185" s="167" t="str">
        <f>template_label_if_yes_are_incidents_related_to</f>
        <v>If yes are incidents related to:</v>
      </c>
      <c r="D185" s="1066"/>
      <c r="E185" s="1067"/>
      <c r="F185" s="1067"/>
      <c r="G185" s="1067"/>
      <c r="H185" s="1068"/>
    </row>
    <row r="186" spans="1:10" x14ac:dyDescent="0.3">
      <c r="A186" s="441" t="s">
        <v>3766</v>
      </c>
      <c r="B186" s="449">
        <v>174</v>
      </c>
      <c r="C186" s="165" t="str">
        <f>template_label_child_labour</f>
        <v>· child labour</v>
      </c>
      <c r="D186" s="1089" t="b">
        <v>0</v>
      </c>
      <c r="E186" s="1089"/>
      <c r="F186" s="1089"/>
      <c r="G186" s="1089"/>
      <c r="H186" s="1090"/>
      <c r="I186" s="1046" t="str" cm="1">
        <f t="array" ref="I186">IF(AND(OR(D186=TRUE,D187=TRUE,D188=TRUE,D189=TRUE,D190=TRUE),D184="YES"), template_label_ok,
IF(AND(D186=FALSE,D187=FALSE,D188=FALSE,D189=FALSE,D190=FALSE,D184="YES"), template_label_missing_value,
IF(AND(D186=FALSE,D187=FALSE,D188=FALSE,D189=FALSE,D190=FALSE,D184=""), "",
IF(AND(D186=FALSE,D187=FALSE,D188=FALSE,D189=FALSE,D190=FALSE,D184="NO"), "",
IF(AND(OR(D186:D190=TRUE),D184=""), "",
template_label_value_inconsistency)))))</f>
        <v/>
      </c>
    </row>
    <row r="187" spans="1:10" x14ac:dyDescent="0.3">
      <c r="A187" s="441" t="s">
        <v>3766</v>
      </c>
      <c r="B187" s="449">
        <v>174</v>
      </c>
      <c r="C187" s="165" t="str">
        <f>template_label_forced_labour</f>
        <v>· forced labour</v>
      </c>
      <c r="D187" s="1089" t="b">
        <v>0</v>
      </c>
      <c r="E187" s="1089"/>
      <c r="F187" s="1089"/>
      <c r="G187" s="1089"/>
      <c r="H187" s="1090"/>
      <c r="I187" s="1046"/>
    </row>
    <row r="188" spans="1:10" x14ac:dyDescent="0.3">
      <c r="A188" s="441" t="s">
        <v>3766</v>
      </c>
      <c r="B188" s="449">
        <v>174</v>
      </c>
      <c r="C188" s="165" t="str">
        <f>template_label_human_trafficking</f>
        <v>· human trafficking</v>
      </c>
      <c r="D188" s="1089" t="b">
        <v>0</v>
      </c>
      <c r="E188" s="1089"/>
      <c r="F188" s="1089"/>
      <c r="G188" s="1089"/>
      <c r="H188" s="1090"/>
      <c r="I188" s="1046"/>
    </row>
    <row r="189" spans="1:10" x14ac:dyDescent="0.3">
      <c r="A189" s="441" t="s">
        <v>3766</v>
      </c>
      <c r="B189" s="449">
        <v>174</v>
      </c>
      <c r="C189" s="165" t="str">
        <f>template_label_discrimination</f>
        <v>· discrimination</v>
      </c>
      <c r="D189" s="1089" t="b">
        <v>0</v>
      </c>
      <c r="E189" s="1089"/>
      <c r="F189" s="1089"/>
      <c r="G189" s="1089"/>
      <c r="H189" s="1090"/>
      <c r="I189" s="1046"/>
    </row>
    <row r="190" spans="1:10" x14ac:dyDescent="0.3">
      <c r="A190" s="441" t="s">
        <v>3766</v>
      </c>
      <c r="B190" s="449">
        <v>174</v>
      </c>
      <c r="C190" s="165" t="str">
        <f>template_label_other_if_yes_specify</f>
        <v>· other? ( if yes specify)</v>
      </c>
      <c r="D190" s="1089" t="b">
        <v>0</v>
      </c>
      <c r="E190" s="1089"/>
      <c r="F190" s="1089"/>
      <c r="G190" s="1089"/>
      <c r="H190" s="1090"/>
      <c r="I190" s="1046"/>
      <c r="J190" s="10" t="str">
        <f>template_label_other_warning</f>
        <v>ℹ️ When "other" is chosen as undertaking legal form please fill the row below</v>
      </c>
    </row>
    <row r="191" spans="1:10" x14ac:dyDescent="0.3">
      <c r="A191" s="441" t="s">
        <v>3766</v>
      </c>
      <c r="B191" s="449">
        <v>174</v>
      </c>
      <c r="C191" s="98" t="str">
        <f>template_label_specify_other_human_rights_related_to_the_confirmed_incidents</f>
        <v>Specify other human rights related to the confirmed incidents</v>
      </c>
      <c r="D191" s="1098"/>
      <c r="E191" s="1098"/>
      <c r="F191" s="1098"/>
      <c r="G191" s="1098"/>
      <c r="H191" s="1099"/>
      <c r="I191" s="15" t="str">
        <f>IF(AND(D190=TRUE,D191&lt;&gt;""), template_label_ok,
IF(AND(D190=TRUE,D191=""), template_label_missing_value,
IF(AND(D190=FALSE,D191&lt;&gt;""), template_label_missing_value, "")))</f>
        <v/>
      </c>
    </row>
    <row r="192" spans="1:10" x14ac:dyDescent="0.3">
      <c r="A192" s="441" t="s">
        <v>3767</v>
      </c>
      <c r="B192" s="449">
        <v>174</v>
      </c>
      <c r="C192" s="98" t="str">
        <f>template_label_description_of_actions_taken_to_address_the_confirmed_incidents</f>
        <v>Description of actions taken to address the confirmed incidents</v>
      </c>
      <c r="D192" s="1092"/>
      <c r="E192" s="1093"/>
      <c r="F192" s="1093"/>
      <c r="G192" s="1093"/>
      <c r="H192" s="1094"/>
      <c r="I192" s="15" t="str">
        <f>IF(D192&lt;&gt;"",template_label_ok,"")</f>
        <v/>
      </c>
    </row>
    <row r="193" spans="1:9" ht="28.8" x14ac:dyDescent="0.3">
      <c r="A193" s="441" t="s">
        <v>3727</v>
      </c>
      <c r="B193" s="449">
        <v>174</v>
      </c>
      <c r="C193" s="126" t="str">
        <f>template_label_is_the_undertaking_aware_of_any_confirmed_incidents_involving_workers</f>
        <v>Is the undertaking aware of any confirmed incidents involving workers in the value chain affected communities consumers and end-users?</v>
      </c>
      <c r="D193" s="706" t="s">
        <v>2907</v>
      </c>
      <c r="E193" s="706"/>
      <c r="F193" s="706"/>
      <c r="G193" s="706"/>
      <c r="H193" s="1088"/>
      <c r="I193" s="15" t="str">
        <f>IF(AND('General Information'!$E$122="Option B (Basic Module and Comprehensive Module)",D193&lt;&gt;""), template_label_ok,
IF(AND('General Information'!$E$122="Option B (Basic Module and Comprehensive Module)",D193=""), template_label_missing_value,
IF(AND('General Information'!$E$122="Option A (Basic Module only)",D193&lt;&gt;""), template_label_ok, "")))</f>
        <v>OK</v>
      </c>
    </row>
    <row r="194" spans="1:9" ht="29.4" thickBot="1" x14ac:dyDescent="0.35">
      <c r="A194" s="441" t="s">
        <v>3727</v>
      </c>
      <c r="B194" s="450">
        <v>174</v>
      </c>
      <c r="C194" s="248" t="str">
        <f>template_label_specification_of_any_confirmed_incident_involving_workers</f>
        <v>Specification of any confirmed incident involving workers in the value chain affected communities consumers and end-users</v>
      </c>
      <c r="D194" s="1095"/>
      <c r="E194" s="1095"/>
      <c r="F194" s="1095"/>
      <c r="G194" s="1095"/>
      <c r="H194" s="1096"/>
      <c r="I194" s="15" t="str">
        <f>IF(AND(D193="YES",D194&lt;&gt;""), template_label_ok,
IF(AND(D193="YES",D194=""), template_label_missing_value,
IF(AND(D193="NO",D194&lt;&gt;""), template_label_missing_value, "")))</f>
        <v/>
      </c>
    </row>
    <row r="197" spans="1:9" ht="15" thickBot="1" x14ac:dyDescent="0.35"/>
    <row r="198" spans="1:9" x14ac:dyDescent="0.3">
      <c r="C198" s="577"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 or entity specific social disclosures from 2024-01-01 to 2024-12-31 [May (optional)]</v>
      </c>
      <c r="D198" s="578"/>
      <c r="E198" s="578"/>
      <c r="F198" s="578"/>
      <c r="G198" s="578"/>
      <c r="H198" s="579"/>
    </row>
    <row r="199" spans="1:9" x14ac:dyDescent="0.3">
      <c r="C199" s="774">
        <v>10</v>
      </c>
      <c r="D199" s="575"/>
      <c r="E199" s="575"/>
      <c r="F199" s="575"/>
      <c r="G199" s="575"/>
      <c r="H199" s="576"/>
    </row>
    <row r="200" spans="1:9" ht="15" thickBot="1" x14ac:dyDescent="0.35">
      <c r="C200" s="571"/>
      <c r="D200" s="572"/>
      <c r="E200" s="572"/>
      <c r="F200" s="572"/>
      <c r="G200" s="572"/>
      <c r="H200" s="1097"/>
      <c r="I200" s="15" t="str">
        <f>IF(C200&lt;&gt;"", template_label_ok, "")</f>
        <v/>
      </c>
    </row>
  </sheetData>
  <sheetProtection algorithmName="SHA-512" hashValue="G0GYU/pdRDjpSfzhF4VVO6bI9Hv4l2D3P38VkYwZ66z1D9hdXpIp97lsCme/1v3/uuNJLc+kScBxW2J3JTwqow==" saltValue="GeJblDf7kMMJ2IS8h2kshw==" spinCount="100000" sheet="1" formatColumns="0" formatRows="0" insertRows="0"/>
  <mergeCells count="298">
    <mergeCell ref="D192:H192"/>
    <mergeCell ref="D193:H193"/>
    <mergeCell ref="D194:H194"/>
    <mergeCell ref="C198:H198"/>
    <mergeCell ref="C199:H199"/>
    <mergeCell ref="C200:H200"/>
    <mergeCell ref="I186:I190"/>
    <mergeCell ref="D187:H187"/>
    <mergeCell ref="D188:H188"/>
    <mergeCell ref="D189:H189"/>
    <mergeCell ref="D190:H190"/>
    <mergeCell ref="D191:H191"/>
    <mergeCell ref="D180:H180"/>
    <mergeCell ref="D181:H181"/>
    <mergeCell ref="C183:H183"/>
    <mergeCell ref="D184:H184"/>
    <mergeCell ref="D185:H185"/>
    <mergeCell ref="D186:H186"/>
    <mergeCell ref="I174:I179"/>
    <mergeCell ref="D175:H175"/>
    <mergeCell ref="D176:H176"/>
    <mergeCell ref="D177:H177"/>
    <mergeCell ref="D178:H178"/>
    <mergeCell ref="D179:H179"/>
    <mergeCell ref="D168:H168"/>
    <mergeCell ref="D169:H169"/>
    <mergeCell ref="C171:H171"/>
    <mergeCell ref="D172:H172"/>
    <mergeCell ref="D173:H173"/>
    <mergeCell ref="D174:H174"/>
    <mergeCell ref="C161:H161"/>
    <mergeCell ref="C162:H162"/>
    <mergeCell ref="C164:H164"/>
    <mergeCell ref="D165:H165"/>
    <mergeCell ref="D166:H166"/>
    <mergeCell ref="D167:H167"/>
    <mergeCell ref="D156:H156"/>
    <mergeCell ref="D157:H157"/>
    <mergeCell ref="I157:I160"/>
    <mergeCell ref="D158:H158"/>
    <mergeCell ref="D159:H159"/>
    <mergeCell ref="D160:H160"/>
    <mergeCell ref="A151:A152"/>
    <mergeCell ref="B151:B152"/>
    <mergeCell ref="D151:H151"/>
    <mergeCell ref="D152:H152"/>
    <mergeCell ref="C154:H154"/>
    <mergeCell ref="C155:H155"/>
    <mergeCell ref="D144:H144"/>
    <mergeCell ref="C146:H146"/>
    <mergeCell ref="D147:H147"/>
    <mergeCell ref="D148:H148"/>
    <mergeCell ref="D149:H149"/>
    <mergeCell ref="D150:H150"/>
    <mergeCell ref="C139:H139"/>
    <mergeCell ref="D140:H140"/>
    <mergeCell ref="D141:H141"/>
    <mergeCell ref="D142:H142"/>
    <mergeCell ref="D143:H143"/>
    <mergeCell ref="C133:H133"/>
    <mergeCell ref="D134:H134"/>
    <mergeCell ref="D135:H135"/>
    <mergeCell ref="D136:H136"/>
    <mergeCell ref="D137:H137"/>
    <mergeCell ref="C128:D128"/>
    <mergeCell ref="E128:H128"/>
    <mergeCell ref="C129:D129"/>
    <mergeCell ref="E129:H129"/>
    <mergeCell ref="C131:H131"/>
    <mergeCell ref="C132:H132"/>
    <mergeCell ref="C35:D35"/>
    <mergeCell ref="E35:H35"/>
    <mergeCell ref="C36:D36"/>
    <mergeCell ref="E36:H36"/>
    <mergeCell ref="C37:D37"/>
    <mergeCell ref="E37:H37"/>
    <mergeCell ref="C32:D32"/>
    <mergeCell ref="E32:H32"/>
    <mergeCell ref="C33:D33"/>
    <mergeCell ref="E33:H33"/>
    <mergeCell ref="C34:D34"/>
    <mergeCell ref="E34:H34"/>
    <mergeCell ref="C30:D30"/>
    <mergeCell ref="E30:H30"/>
    <mergeCell ref="C31:D31"/>
    <mergeCell ref="E31:H31"/>
    <mergeCell ref="D22:G22"/>
    <mergeCell ref="C24:H24"/>
    <mergeCell ref="C25:H25"/>
    <mergeCell ref="C26:H26"/>
    <mergeCell ref="C28:D28"/>
    <mergeCell ref="E28:H28"/>
    <mergeCell ref="C27:D27"/>
    <mergeCell ref="E27:H27"/>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C104:D104"/>
    <mergeCell ref="C105:D105"/>
    <mergeCell ref="C106:D106"/>
    <mergeCell ref="C107:D107"/>
    <mergeCell ref="C108:D108"/>
    <mergeCell ref="C109:D109"/>
    <mergeCell ref="C110:D110"/>
    <mergeCell ref="C111:D111"/>
    <mergeCell ref="C112:D11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E38:H38"/>
    <mergeCell ref="E39:H39"/>
    <mergeCell ref="E40:H40"/>
    <mergeCell ref="E41:H41"/>
    <mergeCell ref="E42:H42"/>
    <mergeCell ref="E43:H43"/>
    <mergeCell ref="E44:H44"/>
    <mergeCell ref="E45:H45"/>
    <mergeCell ref="E46:H46"/>
    <mergeCell ref="E47:H47"/>
    <mergeCell ref="E48:H48"/>
    <mergeCell ref="E49:H49"/>
    <mergeCell ref="E50:H50"/>
    <mergeCell ref="E51:H51"/>
    <mergeCell ref="E52:H52"/>
    <mergeCell ref="E53:H53"/>
    <mergeCell ref="E54:H54"/>
    <mergeCell ref="E55:H55"/>
    <mergeCell ref="E56:H56"/>
    <mergeCell ref="E57:H57"/>
    <mergeCell ref="E58:H58"/>
    <mergeCell ref="E59:H59"/>
    <mergeCell ref="E60:H60"/>
    <mergeCell ref="E61:H61"/>
    <mergeCell ref="E62:H62"/>
    <mergeCell ref="E63:H63"/>
    <mergeCell ref="E64:H64"/>
    <mergeCell ref="E65:H65"/>
    <mergeCell ref="E66:H66"/>
    <mergeCell ref="E67:H67"/>
    <mergeCell ref="E68:H68"/>
    <mergeCell ref="E69:H69"/>
    <mergeCell ref="E70:H70"/>
    <mergeCell ref="E71:H71"/>
    <mergeCell ref="E72:H72"/>
    <mergeCell ref="E73:H73"/>
    <mergeCell ref="E74:H74"/>
    <mergeCell ref="E75:H75"/>
    <mergeCell ref="E76:H76"/>
    <mergeCell ref="E77:H77"/>
    <mergeCell ref="E78:H78"/>
    <mergeCell ref="E79:H79"/>
    <mergeCell ref="E80:H80"/>
    <mergeCell ref="E81:H81"/>
    <mergeCell ref="E82:H82"/>
    <mergeCell ref="E83:H83"/>
    <mergeCell ref="E84:H84"/>
    <mergeCell ref="E85:H85"/>
    <mergeCell ref="E86:H86"/>
    <mergeCell ref="E87:H87"/>
    <mergeCell ref="E88:H88"/>
    <mergeCell ref="E89:H89"/>
    <mergeCell ref="E90:H90"/>
    <mergeCell ref="E91:H91"/>
    <mergeCell ref="E92:H92"/>
    <mergeCell ref="E93:H93"/>
    <mergeCell ref="E94:H94"/>
    <mergeCell ref="E95:H95"/>
    <mergeCell ref="E96:H96"/>
    <mergeCell ref="E97:H97"/>
    <mergeCell ref="E98:H98"/>
    <mergeCell ref="E99:H99"/>
    <mergeCell ref="E100:H100"/>
    <mergeCell ref="E101:H101"/>
    <mergeCell ref="E102:H102"/>
    <mergeCell ref="E103:H103"/>
    <mergeCell ref="E104:H104"/>
    <mergeCell ref="E105:H105"/>
    <mergeCell ref="E106:H106"/>
    <mergeCell ref="E107:H107"/>
    <mergeCell ref="E108:H108"/>
    <mergeCell ref="E109:H109"/>
    <mergeCell ref="E110:H110"/>
    <mergeCell ref="E111:H111"/>
    <mergeCell ref="E112:H112"/>
    <mergeCell ref="E113:H113"/>
    <mergeCell ref="E114:H114"/>
    <mergeCell ref="E115:H115"/>
    <mergeCell ref="E116:H116"/>
    <mergeCell ref="E117:H117"/>
    <mergeCell ref="E118:H118"/>
    <mergeCell ref="E119:H119"/>
    <mergeCell ref="E120:H120"/>
    <mergeCell ref="E121:H121"/>
    <mergeCell ref="E122:H122"/>
    <mergeCell ref="E123:H123"/>
    <mergeCell ref="E124:H124"/>
    <mergeCell ref="E125:H125"/>
    <mergeCell ref="E126:H126"/>
    <mergeCell ref="E127:H127"/>
  </mergeCells>
  <phoneticPr fontId="3" type="noConversion"/>
  <conditionalFormatting sqref="D180">
    <cfRule type="expression" dxfId="67" priority="28">
      <formula>$D$179=TRUE</formula>
    </cfRule>
  </conditionalFormatting>
  <conditionalFormatting sqref="D191:D192">
    <cfRule type="expression" dxfId="66" priority="17">
      <formula>$D$190=TRUE</formula>
    </cfRule>
  </conditionalFormatting>
  <conditionalFormatting sqref="D194">
    <cfRule type="expression" dxfId="65" priority="16">
      <formula>$D$193="YES"</formula>
    </cfRule>
  </conditionalFormatting>
  <conditionalFormatting sqref="D174:H179">
    <cfRule type="expression" dxfId="62" priority="33">
      <formula>$D$172="YES"</formula>
    </cfRule>
  </conditionalFormatting>
  <conditionalFormatting sqref="D186:H190">
    <cfRule type="expression" dxfId="60" priority="22">
      <formula>$D$184="YES"</formula>
    </cfRule>
  </conditionalFormatting>
  <conditionalFormatting sqref="D192:H192">
    <cfRule type="expression" dxfId="59" priority="9">
      <formula>$D$184="YES"</formula>
    </cfRule>
  </conditionalFormatting>
  <conditionalFormatting sqref="E29:H29">
    <cfRule type="expression" dxfId="58" priority="1">
      <formula>$E$27=TRUE</formula>
    </cfRule>
  </conditionalFormatting>
  <conditionalFormatting sqref="E29:H128">
    <cfRule type="expression" dxfId="57" priority="59">
      <formula>$C29&lt;&gt;""</formula>
    </cfRule>
  </conditionalFormatting>
  <conditionalFormatting sqref="E30:H128">
    <cfRule type="expression" dxfId="56" priority="60">
      <formula>$D30=""</formula>
    </cfRule>
  </conditionalFormatting>
  <conditionalFormatting sqref="H10:H11">
    <cfRule type="expression" dxfId="55" priority="71">
      <formula>$H10=template_label_ok</formula>
    </cfRule>
    <cfRule type="expression" dxfId="54" priority="70">
      <formula>$H10=template_label_missing_value</formula>
    </cfRule>
  </conditionalFormatting>
  <conditionalFormatting sqref="H12">
    <cfRule type="expression" dxfId="53" priority="73">
      <formula>$H$12="VALUE INCONSISTENCY"</formula>
    </cfRule>
    <cfRule type="expression" dxfId="52" priority="72">
      <formula>$H$12="OK"</formula>
    </cfRule>
  </conditionalFormatting>
  <conditionalFormatting sqref="H18:H21">
    <cfRule type="expression" dxfId="51" priority="65">
      <formula>$H$18=template_label_missing_value</formula>
    </cfRule>
    <cfRule type="expression" dxfId="50" priority="66">
      <formula>$H$18=template_label_ok</formula>
    </cfRule>
  </conditionalFormatting>
  <conditionalFormatting sqref="H22">
    <cfRule type="expression" dxfId="49" priority="67">
      <formula>$H$22="VALUE INCONSISTENCY"</formula>
    </cfRule>
    <cfRule type="expression" dxfId="48" priority="68">
      <formula>$H$22="MISSING VALUE"</formula>
    </cfRule>
    <cfRule type="expression" dxfId="47" priority="69">
      <formula>$H$22="OK"</formula>
    </cfRule>
  </conditionalFormatting>
  <conditionalFormatting sqref="I29:I128">
    <cfRule type="expression" dxfId="46" priority="64">
      <formula>$I29=template_label_missing_value</formula>
    </cfRule>
    <cfRule type="expression" dxfId="45" priority="63">
      <formula>$I29=template_label_ok</formula>
    </cfRule>
    <cfRule type="expression" dxfId="44" priority="4">
      <formula>$I29=template_label_value_inconsistency</formula>
    </cfRule>
  </conditionalFormatting>
  <conditionalFormatting sqref="I129">
    <cfRule type="expression" dxfId="43" priority="61">
      <formula>$I$129="OK"</formula>
    </cfRule>
    <cfRule type="expression" dxfId="42" priority="62">
      <formula>$I$129="VALUE INCONSISTENCY"</formula>
    </cfRule>
  </conditionalFormatting>
  <conditionalFormatting sqref="I134:I136">
    <cfRule type="expression" dxfId="41" priority="57">
      <formula>$I134=template_label_missing_value</formula>
    </cfRule>
    <cfRule type="expression" dxfId="40" priority="58">
      <formula>$I134=template_label_ok</formula>
    </cfRule>
  </conditionalFormatting>
  <conditionalFormatting sqref="I140:I141">
    <cfRule type="expression" dxfId="39" priority="54">
      <formula>$I140=template_label_missing_value</formula>
    </cfRule>
    <cfRule type="expression" dxfId="38" priority="55">
      <formula>$I140=template_label_ok</formula>
    </cfRule>
  </conditionalFormatting>
  <conditionalFormatting sqref="I142">
    <cfRule type="expression" dxfId="37" priority="51">
      <formula>$I$142="MISSING VALUE"</formula>
    </cfRule>
    <cfRule type="expression" dxfId="36" priority="50">
      <formula>$I$142="OK"</formula>
    </cfRule>
  </conditionalFormatting>
  <conditionalFormatting sqref="I144">
    <cfRule type="expression" dxfId="35" priority="52">
      <formula>$I$144=template_label_missing_value</formula>
    </cfRule>
    <cfRule type="expression" dxfId="34" priority="53">
      <formula>$I$144=template_label_ok</formula>
    </cfRule>
  </conditionalFormatting>
  <conditionalFormatting sqref="I147">
    <cfRule type="expression" dxfId="33" priority="45">
      <formula>$I$147=template_label_ok</formula>
    </cfRule>
    <cfRule type="expression" dxfId="32" priority="44">
      <formula>$I$147=template_label_missing_value</formula>
    </cfRule>
  </conditionalFormatting>
  <conditionalFormatting sqref="I148:I149">
    <cfRule type="expression" dxfId="31" priority="49">
      <formula>$I148=template_label_missing_value</formula>
    </cfRule>
    <cfRule type="expression" dxfId="30" priority="48">
      <formula>$I148=template_label_ok</formula>
    </cfRule>
  </conditionalFormatting>
  <conditionalFormatting sqref="I151">
    <cfRule type="expression" dxfId="29" priority="47">
      <formula>$I$151=template_label_missing_value</formula>
    </cfRule>
    <cfRule type="expression" dxfId="28" priority="46">
      <formula>$I$151=template_label_ok</formula>
    </cfRule>
  </conditionalFormatting>
  <conditionalFormatting sqref="I156:I157 I161">
    <cfRule type="expression" dxfId="27" priority="41">
      <formula>$I156=template_label_ok</formula>
    </cfRule>
    <cfRule type="expression" dxfId="26" priority="42">
      <formula>$I156=template_label_missing_value</formula>
    </cfRule>
  </conditionalFormatting>
  <conditionalFormatting sqref="I165">
    <cfRule type="expression" dxfId="25" priority="40">
      <formula>$I$165=template_label_ok</formula>
    </cfRule>
  </conditionalFormatting>
  <conditionalFormatting sqref="I166">
    <cfRule type="expression" dxfId="24" priority="39">
      <formula>$I$166=template_label_ok</formula>
    </cfRule>
  </conditionalFormatting>
  <conditionalFormatting sqref="I168">
    <cfRule type="expression" dxfId="23" priority="38">
      <formula>$I$168=template_label_ok</formula>
    </cfRule>
  </conditionalFormatting>
  <conditionalFormatting sqref="I169">
    <cfRule type="expression" dxfId="22" priority="37">
      <formula>$I$169=template_label_ok</formula>
    </cfRule>
  </conditionalFormatting>
  <conditionalFormatting sqref="I172">
    <cfRule type="expression" dxfId="21" priority="29">
      <formula>$I$172=template_label_missing_value</formula>
    </cfRule>
    <cfRule type="expression" dxfId="20" priority="30">
      <formula>$I$172=template_label_ok</formula>
    </cfRule>
  </conditionalFormatting>
  <conditionalFormatting sqref="I174:I179">
    <cfRule type="expression" dxfId="19" priority="25">
      <formula>$I$174=template_label_ok</formula>
    </cfRule>
    <cfRule type="expression" dxfId="18" priority="24">
      <formula>$I$174=template_label_missing_value</formula>
    </cfRule>
    <cfRule type="expression" dxfId="17" priority="6">
      <formula>$I$174=template_label_value_inconsistency</formula>
    </cfRule>
  </conditionalFormatting>
  <conditionalFormatting sqref="I180">
    <cfRule type="expression" dxfId="16" priority="32">
      <formula>$I$180=template_label_missing_value</formula>
    </cfRule>
    <cfRule type="expression" dxfId="15" priority="31">
      <formula>$I$180=template_label_ok</formula>
    </cfRule>
  </conditionalFormatting>
  <conditionalFormatting sqref="I181">
    <cfRule type="expression" dxfId="14" priority="27">
      <formula>$I$181=template_label_ok</formula>
    </cfRule>
    <cfRule type="expression" dxfId="13" priority="26">
      <formula>$I$181=template_label_missing_value</formula>
    </cfRule>
  </conditionalFormatting>
  <conditionalFormatting sqref="I184">
    <cfRule type="expression" dxfId="12" priority="15">
      <formula>$I$184=template_label_missing_value</formula>
    </cfRule>
    <cfRule type="expression" dxfId="11" priority="14">
      <formula>$I$184=template_label_ok</formula>
    </cfRule>
  </conditionalFormatting>
  <conditionalFormatting sqref="I186:I190">
    <cfRule type="expression" dxfId="10" priority="13">
      <formula>$I$186=template_label_missing_value</formula>
    </cfRule>
    <cfRule type="expression" dxfId="9" priority="12">
      <formula>$I$186=template_label_ok</formula>
    </cfRule>
    <cfRule type="expression" dxfId="8" priority="5">
      <formula>$I$186=template_label_value_inconsistency</formula>
    </cfRule>
  </conditionalFormatting>
  <conditionalFormatting sqref="I191">
    <cfRule type="expression" dxfId="7" priority="21">
      <formula>$I$191=template_label_missing_value</formula>
    </cfRule>
    <cfRule type="expression" dxfId="6" priority="20">
      <formula>$I$191=template_label_ok</formula>
    </cfRule>
  </conditionalFormatting>
  <conditionalFormatting sqref="I192">
    <cfRule type="expression" dxfId="5" priority="8">
      <formula>$I$192=template_label_ok</formula>
    </cfRule>
  </conditionalFormatting>
  <conditionalFormatting sqref="I193">
    <cfRule type="expression" dxfId="4" priority="11">
      <formula>$I$193=template_label_ok</formula>
    </cfRule>
    <cfRule type="expression" dxfId="3" priority="10">
      <formula>$I$193=template_label_missing_value</formula>
    </cfRule>
  </conditionalFormatting>
  <conditionalFormatting sqref="I194">
    <cfRule type="expression" dxfId="2" priority="19">
      <formula>$I$194=template_label_ok</formula>
    </cfRule>
    <cfRule type="expression" dxfId="1" priority="18">
      <formula>$I$194=template_label_missing_value</formula>
    </cfRule>
  </conditionalFormatting>
  <conditionalFormatting sqref="I200">
    <cfRule type="expression" dxfId="0" priority="7">
      <formula>$I$200=template_label_ok</formula>
    </cfRule>
  </conditionalFormatting>
  <dataValidations count="27">
    <dataValidation type="custom" operator="lessThanOrEqual" allowBlank="1" showInputMessage="1" showErrorMessage="1" sqref="D10:G10" xr:uid="{4147C851-5848-48C0-9748-2C4E5B7D1C6C}">
      <formula1>IF(D12="-", 0, D12) &gt;= D10</formula1>
    </dataValidation>
    <dataValidation type="custom" operator="equal" showInputMessage="1" showErrorMessage="1" sqref="D20:G20" xr:uid="{E788FE82-113F-47AC-8507-31EF1A0A60C7}">
      <formula1>IF(D22="-", 0, D22)&gt;=D18+D19+D20+D21</formula1>
    </dataValidation>
    <dataValidation type="custom" operator="equal" showInputMessage="1" showErrorMessage="1" sqref="D19:G19" xr:uid="{D60876FE-60D6-40E2-9AC8-635C8823760F}">
      <formula1>IF(D22="-", 0, D22)&gt;=D18+D19+D20+D21</formula1>
    </dataValidation>
    <dataValidation type="custom" operator="equal" showInputMessage="1" showErrorMessage="1" sqref="D18:G18" xr:uid="{05C61CF1-5102-453C-AA36-8D10D01B3AC6}">
      <formula1>IF(D22="-", 0, D22)&gt;=D18+D19+D20+D21</formula1>
    </dataValidation>
    <dataValidation type="custom" operator="equal" showInputMessage="1" showErrorMessage="1" sqref="D21:G21" xr:uid="{C90CEA17-46DC-40CA-9DB3-6FFF3E78EDF8}">
      <formula1>IF(D22="-", 0, D22)&gt;=D18+D19+D20+D21</formula1>
    </dataValidation>
    <dataValidation type="custom" showInputMessage="1" showErrorMessage="1" sqref="D137:H137" xr:uid="{31822F3B-CBAF-498B-96BC-9F4B7C9FA836}">
      <formula1>IF(AND(D134&lt;&gt;"",D135&lt;&gt;"",D136&lt;&gt;""),(D134/((D135+D136)/2)),"-")</formula1>
    </dataValidation>
    <dataValidation allowBlank="1" showInputMessage="1" showErrorMessage="1" promptTitle="Employee turnover rate [%]" prompt="(number of employees who left during the reporting year / average number of employees during the reporting year) * 100" sqref="C137" xr:uid="{182F3A13-D482-455E-A41D-A7B885BF1147}"/>
    <dataValidation type="decimal" operator="equal" allowBlank="1" showInputMessage="1" showErrorMessage="1" sqref="D165:H166 D168:H169 D148:H149 D157:H160 D134:H135 D140:H144" xr:uid="{8675EF2D-EB6A-47BC-BA53-E3A025512A6A}">
      <formula1>D134</formula1>
    </dataValidation>
    <dataValidation allowBlank="1" showInputMessage="1" showErrorMessage="1" promptTitle="Rate of work-related accidents" prompt="(number of recordable work-related accidents in the reporting year / total number of hours worked in a year by all employees) * 200000" sqref="C143" xr:uid="{28EF91E1-2FA3-4B12-B20D-BA4B7E1DF87A}"/>
    <dataValidation allowBlank="1" showInputMessage="1" showErrorMessage="1" promptTitle="Rate of covered employees [%]" prompt="(number of employees covered by collective bargaining agreements / total number of employees) * 100" sqref="C152" xr:uid="{CC67BD25-2352-4334-833C-CFE16D252FD6}"/>
    <dataValidation allowBlank="1" showInputMessage="1" showErrorMessage="1" promptTitle="Percentage gap in pay  [%]" prompt="((average gross hourly pay level of male employees - average gross hourly pay level of female employees) / average gross hourly pay level of male employeees) * 100" sqref="C150" xr:uid="{B827D9EB-8466-49A8-9946-89C305A6C82A}"/>
    <dataValidation type="list" allowBlank="1" showInputMessage="1" showErrorMessage="1" sqref="D147:H147 D172:H172 D181:H181 D193:H193 D184:H184" xr:uid="{A8CAC87D-06B2-434E-9F65-3A41C843B5CD}">
      <formula1>enum_ListYesNo</formula1>
    </dataValidation>
    <dataValidation allowBlank="1" showInputMessage="1" showErrorMessage="1" promptTitle="Management female-to-male ratio" prompt="number of female employees at management level / number of male employees at management level" sqref="C167" xr:uid="{0382C43B-6B15-4C96-B230-1F6DEFF355C6}"/>
    <dataValidation type="custom" showInputMessage="1" showErrorMessage="1" sqref="D167:H167" xr:uid="{202E8B87-D65E-4D4D-8C19-362F4AC993F3}">
      <formula1>IF(AND(D165&lt;&gt;"",D166&lt;&gt;""),$D$166/$D$165,"-")</formula1>
    </dataValidation>
    <dataValidation type="custom" showInputMessage="1" showErrorMessage="1" sqref="D174:H174 D178:H179 D186:H189 E27 I27" xr:uid="{6B787025-4F5D-4CA7-A900-ED7D6B50CC1F}">
      <formula1>OR(D27=TRUE,D27=FALSE)</formula1>
    </dataValidation>
    <dataValidation type="custom" showInputMessage="1" showErrorMessage="1" sqref="D175:H177 D190:H190" xr:uid="{57A047BE-D7FD-4862-9330-3E0747FA4DCC}">
      <formula1>OR(D175=FALSE,D175=TRUE)</formula1>
    </dataValidation>
    <dataValidation type="list" allowBlank="1" showInputMessage="1" showErrorMessage="1" sqref="C29:D128" xr:uid="{1A63D793-CD26-4CCE-A8F9-F963E57269F8}">
      <formula1>enum_ListCountriesName</formula1>
    </dataValidation>
    <dataValidation type="custom" showInputMessage="1" showErrorMessage="1" sqref="E29:H29" xr:uid="{159F7790-D5E7-481E-851D-34FCA66A69A1}">
      <formula1>IF(E129="-", 0, E129)&gt;=E29+E30+E31+E32+E33+E34+E35+E36+E37+E128</formula1>
    </dataValidation>
    <dataValidation type="custom" showInputMessage="1" showErrorMessage="1" sqref="E30:H30" xr:uid="{F5F016A3-2091-44BA-B477-73AB6CDCBD19}">
      <formula1>IF(E129="-", 0, E129)&gt;=E29+E30+E31+E32+E33+E34+E35+E36+E37+E128</formula1>
    </dataValidation>
    <dataValidation type="custom" showInputMessage="1" showErrorMessage="1" sqref="E31:H31" xr:uid="{39F8E6AB-061B-437A-AE23-98A49E9CFEB0}">
      <formula1>IF(E129="-", 0, E129)&gt;=E29+E30+E31+E32+E33+E34+E35+E36+E37+E128</formula1>
    </dataValidation>
    <dataValidation type="custom" showInputMessage="1" showErrorMessage="1" sqref="E32:H32" xr:uid="{131D0AD6-02CF-4DC6-A749-CDF575D64895}">
      <formula1>IF(E129="-", 0, E129)&gt;=E29+E30+E31+E32+E33+E34+E35+E36+E37+E128</formula1>
    </dataValidation>
    <dataValidation type="custom" showInputMessage="1" showErrorMessage="1" sqref="E33:H33" xr:uid="{007C2735-5A43-42FD-91C2-A93A719F88DA}">
      <formula1>IF(E129="-", 0, E129)&gt;=E29+E30+E31+E32+E33+E34+E35+E36+E37+E128</formula1>
    </dataValidation>
    <dataValidation type="custom" showInputMessage="1" showErrorMessage="1" sqref="E34:H34" xr:uid="{3B849B7F-5A1A-4DC3-A538-FD104DEE803C}">
      <formula1>IF(E129="-", 0, E129)&gt;=E29+E30+E31+E32+E33+E34+E35+E36+E37+E128</formula1>
    </dataValidation>
    <dataValidation type="custom" showInputMessage="1" showErrorMessage="1" sqref="E35:H35" xr:uid="{3647A2CF-5263-4FA7-8B79-8EF591DC1884}">
      <formula1>IF(E129="-", 0, E129)&gt;=E29+E30+E31+E32+E33+E34+E35+E36+E37+E128</formula1>
    </dataValidation>
    <dataValidation type="custom" showInputMessage="1" showErrorMessage="1" sqref="E36:H36" xr:uid="{24122FBE-3989-4D5D-BEEC-B877C0800CE7}">
      <formula1>IF(E129="-", 0, E129)&gt;=E29+E30+E31+E32+E33+E34+E35+E36+E37+E128</formula1>
    </dataValidation>
    <dataValidation type="custom" showInputMessage="1" showErrorMessage="1" sqref="E128:H128" xr:uid="{5B64D7AD-84BC-456F-A1E6-F04CB19976F8}">
      <formula1>IF(E129="-", 0, E129)&gt;=E29+E30+E31+E32+E33+E34+E35+E36+E37+E128</formula1>
    </dataValidation>
    <dataValidation type="custom" showInputMessage="1" showErrorMessage="1" sqref="E37:H127" xr:uid="{07031EA6-6947-4953-9773-726224640C0F}">
      <formula1>IF(E129="-", 0, E129)&gt;=E29+E30+E31+E32+E33+E34+E35+E36+E37+E128</formula1>
    </dataValidation>
  </dataValidations>
  <hyperlinks>
    <hyperlink ref="C7" r:id="rId1" location="id-89" xr:uid="{715FCF17-2CDA-45C0-AD69-D374E2424764}"/>
    <hyperlink ref="C8" r:id="rId2" location="id-355" display="175-182" xr:uid="{E70410AE-E73F-4568-AF31-581E7B412326}"/>
    <hyperlink ref="C15" r:id="rId3" location="id-90" xr:uid="{D13E5315-32E5-47A5-8C59-56679AD414C5}"/>
    <hyperlink ref="C16" r:id="rId4" location="id-355" display="175-182" xr:uid="{31DF6FD3-0C4C-40A0-B0F3-952DBAB2C719}"/>
    <hyperlink ref="C26" r:id="rId5" location="id-355" display="175-182" xr:uid="{72A4734A-6FA5-4693-A1A4-0571AD5D6BFC}"/>
    <hyperlink ref="C25" r:id="rId6" location="id-91" display="https://xbrl.efrag.org/e-esrs/2024-12-17-efrag-vsme.xhtml - id-91" xr:uid="{E4FF1FD8-D0A9-4664-94B5-903B3C7DE34E}"/>
    <hyperlink ref="C132" r:id="rId7" location="id-92" display="https://xbrl.efrag.org/e-esrs/2024-12-17-efrag-vsme.xhtml - id-92" xr:uid="{E0BA9FB5-FB8C-4FEF-868E-6CF4D588E023}"/>
    <hyperlink ref="C133" r:id="rId8" location="id-363" display="https://xbrl.efrag.org/e-esrs/2024-12-17-efrag-vsme.xhtml - id-363" xr:uid="{50B0BE03-C08E-4851-AC9B-993066443FF0}"/>
    <hyperlink ref="A140" r:id="rId9" xr:uid="{F2DE8AE6-7F6A-4C11-8C35-BFD6848C265A}"/>
    <hyperlink ref="B140" r:id="rId10" xr:uid="{A80B1F84-0594-4287-A96E-9DCAA77A7036}"/>
    <hyperlink ref="A147" r:id="rId11" xr:uid="{A04769E2-92AB-4FA7-8BAA-94C789C5D2BC}"/>
    <hyperlink ref="A151" r:id="rId12" location="id-99" xr:uid="{8113121E-C750-4B02-9F44-43C4B57E348C}"/>
    <hyperlink ref="B147" r:id="rId13" xr:uid="{D1428CBA-D262-46DD-A656-23D4C88B3472}"/>
    <hyperlink ref="B151" r:id="rId14" location="id-386" display="202-205" xr:uid="{9AEDE24B-6E51-44E4-9816-FE8C0C8508A3}"/>
    <hyperlink ref="B148" r:id="rId15" xr:uid="{525973BD-5FC4-4E6E-BA87-B737CF59306E}"/>
    <hyperlink ref="C155" r:id="rId16" location="id-100" xr:uid="{A4FCCF43-CF5C-4938-A588-DC9CBECE7EC2}"/>
    <hyperlink ref="A165" r:id="rId17" display="https://xbrl.efrag.org/eng/interactive/vsme/vsme-standard-annex-i/2025-07-30-ec-rec/59" xr:uid="{D6C382FC-BB6A-4070-83F7-5D8F1C237A22}"/>
    <hyperlink ref="A168" r:id="rId18" display="https://xbrl.efrag.org/eng/interactive/vsme/vsme-standard-annex-i/2025-07-30-ec-rec/60" xr:uid="{B621BBEE-281B-42F5-B2D2-56DD7AA5EEA0}"/>
    <hyperlink ref="B165" r:id="rId19" xr:uid="{F0350405-76E9-49D1-BCA5-1A0EFEA12C04}"/>
    <hyperlink ref="B168" r:id="rId20" xr:uid="{7E6AA21F-CB64-4BA3-B45A-0E902CCAE552}"/>
    <hyperlink ref="A172" r:id="rId21" xr:uid="{B9DD33F4-2ACF-4676-8833-08E77CB7D0CA}"/>
    <hyperlink ref="A173" r:id="rId22" xr:uid="{88C6CF49-313A-4434-8D2A-0AEA3359D7FC}"/>
    <hyperlink ref="A181" r:id="rId23" xr:uid="{752B393B-0928-4C69-AFB2-C68F07D89E0E}"/>
    <hyperlink ref="B172" r:id="rId24" display="https://xbrl.efrag.org/eng/interactive/vsme/vsme-guidance-annex-ii/2025-07-30-ec-rec/173" xr:uid="{5DC38D20-F9F3-45CD-A4F1-CCBAA158E822}"/>
    <hyperlink ref="A193" r:id="rId25" xr:uid="{9B3F1639-CEDF-4FD6-829F-0D9EE195C206}"/>
    <hyperlink ref="B184" r:id="rId26" display="https://xbrl.efrag.org/eng/interactive/vsme/vsme-guidance-annex-ii/2025-07-30-ec-rec/174" xr:uid="{E39563BA-8B8E-41CC-8A15-041A714F2283}"/>
    <hyperlink ref="A185" r:id="rId27" xr:uid="{4767E427-EBDB-4F68-ADD4-2E28DAE9623F}"/>
    <hyperlink ref="A184" r:id="rId28" display="https://xbrl.efrag.org/eng/interactive/vsme/vsme-standard-annex-i/2025-07-30-ec-rec/62" xr:uid="{EAFDF65A-AB84-4580-B43C-874BE882196C}"/>
    <hyperlink ref="A192" r:id="rId29" xr:uid="{C3F1A085-4C97-49E3-804F-2C1886C3712A}"/>
    <hyperlink ref="C199" r:id="rId30" location="id-30" display="https://xbrl.efrag.org/e-esrs/2024-12-17-efrag-vsme.xhtml - id-30" xr:uid="{1D37EE3E-D845-46B8-B826-670052F1EFFD}"/>
    <hyperlink ref="C7:G7" r:id="rId31" display="39(a)" xr:uid="{045591BB-7AC1-41F4-A12A-E4B96445A4B3}"/>
    <hyperlink ref="C15:G15" r:id="rId32" display="39(b)" xr:uid="{986DCC5F-5EA6-4790-891E-BF08D9242936}"/>
    <hyperlink ref="C25:H25" r:id="rId33" display="39(c)" xr:uid="{A10A1811-7417-4B9B-9FCD-934E622BE66F}"/>
    <hyperlink ref="C132:H132" r:id="rId34" display="https://xbrl.efrag.org/eng/interactive/vsme/vsme-standard-annex-i/2025-07-30-ec-rec/40" xr:uid="{622C6F62-9464-4894-9594-12DFC4557303}"/>
    <hyperlink ref="A144" r:id="rId35" xr:uid="{4BE08046-72E6-47D5-888C-BE3727409AE4}"/>
    <hyperlink ref="A148" r:id="rId36" xr:uid="{391833E0-BB4C-41C7-BBD3-C91728FD7649}"/>
    <hyperlink ref="A151:A152" r:id="rId37" display="42(c)" xr:uid="{C36D9540-4B6D-48B0-B22B-34A4FFE44E35}"/>
    <hyperlink ref="C155:H155" r:id="rId38" display="42(d)" xr:uid="{985AC647-33FB-4A71-93C7-5C325CA24011}"/>
    <hyperlink ref="A169" r:id="rId39" display="https://xbrl.efrag.org/eng/interactive/vsme/vsme-standard-annex-i/2025-07-30-ec-rec/60" xr:uid="{37FFA10E-6558-4258-A996-A7A13B24BC45}"/>
    <hyperlink ref="A194" r:id="rId40" xr:uid="{AE0089D3-808C-4790-9566-1F08F8F69A4D}"/>
    <hyperlink ref="C199:H199" r:id="rId41" display="https://xbrl.efrag.org/eng/interactive/vsme/vsme-standard-annex-i/2025-07-30-ec-rec/10" xr:uid="{FE90F4B0-5C1A-422D-9546-1262BD637327}"/>
    <hyperlink ref="C8:G8" r:id="rId42" display="110-117" xr:uid="{3C1E3943-B9F8-4356-BB7D-2E5B4A68C465}"/>
    <hyperlink ref="C16:G16" r:id="rId43" display="110-117" xr:uid="{F6A906E9-B721-4F64-982A-95F1DD0FF27C}"/>
    <hyperlink ref="C26:H26" r:id="rId44" display="110-117" xr:uid="{F28AE070-7A73-477E-8DD0-D267A377C199}"/>
    <hyperlink ref="C133:H133" r:id="rId45" display="https://xbrl.efrag.org/eng/interactive/vsme/vsme-guidance-annex-ii/2025-07-30-ec-rec/118" xr:uid="{9B3C672C-2D5B-4AC8-9FDE-5863B03C6A02}"/>
    <hyperlink ref="B151:B152" r:id="rId46" display="137-140" xr:uid="{4184C8F5-A5CA-456F-BDD4-7E346D6CCC84}"/>
    <hyperlink ref="A141" r:id="rId47" xr:uid="{0025172A-8FCF-4FE5-B3C1-C88E6B3908A4}"/>
    <hyperlink ref="A142" r:id="rId48" xr:uid="{DEEA807F-A6D7-4856-BB88-4C45205AC4BA}"/>
    <hyperlink ref="A143" r:id="rId49" xr:uid="{4A217A22-46F6-4593-AD74-30E1B42C71F7}"/>
    <hyperlink ref="A149" r:id="rId50" xr:uid="{6A5E69FA-D2CE-4BD9-9F85-5A40CDFC2E87}"/>
    <hyperlink ref="A150" r:id="rId51" xr:uid="{85BC8A83-71E2-476B-B296-E7A368C12D6C}"/>
    <hyperlink ref="A166" r:id="rId52" display="https://xbrl.efrag.org/eng/interactive/vsme/vsme-standard-annex-i/2025-07-30-ec-rec/59" xr:uid="{B6352C9C-6ADA-4E23-90B8-5672D2623859}"/>
    <hyperlink ref="A167" r:id="rId53" display="https://xbrl.efrag.org/eng/interactive/vsme/vsme-standard-annex-i/2025-07-30-ec-rec/59" xr:uid="{2CE1D049-2FF7-4C14-8247-582CA2E7AADB}"/>
    <hyperlink ref="A174" r:id="rId54" xr:uid="{A01648FD-4531-4ADA-BC8A-D0BFD47BE31A}"/>
    <hyperlink ref="A175" r:id="rId55" xr:uid="{E695DDCD-8153-4195-B88B-FBF08412A5B0}"/>
    <hyperlink ref="A176" r:id="rId56" xr:uid="{C2A519AC-6FD2-4147-A05B-E0D9804C45D0}"/>
    <hyperlink ref="A177" r:id="rId57" xr:uid="{D269E440-5783-4049-8DA6-691D04D50C55}"/>
    <hyperlink ref="A178" r:id="rId58" xr:uid="{3636C888-0684-413B-B650-52AB80239273}"/>
    <hyperlink ref="A179" r:id="rId59" xr:uid="{9E82C054-8192-4AFE-8D00-45E9DBEDE98A}"/>
    <hyperlink ref="A180" r:id="rId60" xr:uid="{D2E67599-055A-4305-8D9E-CCC62B31E83C}"/>
    <hyperlink ref="A186" r:id="rId61" xr:uid="{42389616-D7DC-4967-8217-BA7DF3BF2677}"/>
    <hyperlink ref="A187" r:id="rId62" xr:uid="{FD787500-F418-4140-9673-E586F1C1FE87}"/>
    <hyperlink ref="A188" r:id="rId63" xr:uid="{101B247B-F782-48A2-B8C8-3A1DF15C08A7}"/>
    <hyperlink ref="A189" r:id="rId64" xr:uid="{CF1F45B8-9AD9-4586-9AF7-E6829297B0E7}"/>
    <hyperlink ref="A190" r:id="rId65" xr:uid="{158639B2-36A1-4A09-AAD2-C5B9508ACA3C}"/>
    <hyperlink ref="A191" r:id="rId66" xr:uid="{E1826D17-99A9-476E-8EB3-7421B92D132F}"/>
    <hyperlink ref="B144" r:id="rId67" xr:uid="{6531E4F5-A8E4-4C65-9524-B86416E7C98C}"/>
    <hyperlink ref="B173" r:id="rId68" display="https://xbrl.efrag.org/eng/interactive/vsme/vsme-guidance-annex-ii/2025-07-30-ec-rec/173" xr:uid="{CD1F773C-4DBC-4FE3-9F8B-EC998D968458}"/>
    <hyperlink ref="B174" r:id="rId69" display="https://xbrl.efrag.org/eng/interactive/vsme/vsme-guidance-annex-ii/2025-07-30-ec-rec/173" xr:uid="{4FEE3EA4-2284-4F07-9B36-2AEE980DF91A}"/>
    <hyperlink ref="B175" r:id="rId70" display="https://xbrl.efrag.org/eng/interactive/vsme/vsme-guidance-annex-ii/2025-07-30-ec-rec/173" xr:uid="{8239416B-CF1E-469D-AA10-1800167E3309}"/>
    <hyperlink ref="B176" r:id="rId71" display="https://xbrl.efrag.org/eng/interactive/vsme/vsme-guidance-annex-ii/2025-07-30-ec-rec/173" xr:uid="{2D45C5BA-97D7-47AA-AA14-72AFE5593D6D}"/>
    <hyperlink ref="B177" r:id="rId72" display="https://xbrl.efrag.org/eng/interactive/vsme/vsme-guidance-annex-ii/2025-07-30-ec-rec/173" xr:uid="{9B15DD8E-2981-4D03-905C-180F87E33E35}"/>
    <hyperlink ref="B178" r:id="rId73" display="https://xbrl.efrag.org/eng/interactive/vsme/vsme-guidance-annex-ii/2025-07-30-ec-rec/173" xr:uid="{8218DE42-1C86-481F-A6AF-1E75450D64FE}"/>
    <hyperlink ref="B179" r:id="rId74" display="https://xbrl.efrag.org/eng/interactive/vsme/vsme-guidance-annex-ii/2025-07-30-ec-rec/173" xr:uid="{9692D913-23F9-4B05-9B66-CE5A503AB1C4}"/>
    <hyperlink ref="B180" r:id="rId75" display="https://xbrl.efrag.org/eng/interactive/vsme/vsme-guidance-annex-ii/2025-07-30-ec-rec/173" xr:uid="{A25FA8FB-F895-497B-A810-794BEE155C88}"/>
    <hyperlink ref="B181" r:id="rId76" display="https://xbrl.efrag.org/eng/interactive/vsme/vsme-guidance-annex-ii/2025-07-30-ec-rec/173" xr:uid="{A1745671-C85A-4B5E-87F6-C0A8FB70740A}"/>
    <hyperlink ref="B185" r:id="rId77" display="https://xbrl.efrag.org/eng/interactive/vsme/vsme-guidance-annex-ii/2025-07-30-ec-rec/174" xr:uid="{FDF17B2D-0176-4706-B411-4F54D97C1CA8}"/>
    <hyperlink ref="B186" r:id="rId78" display="https://xbrl.efrag.org/eng/interactive/vsme/vsme-guidance-annex-ii/2025-07-30-ec-rec/174" xr:uid="{2C16E34B-1B18-4252-805B-637FBAE2CEDF}"/>
    <hyperlink ref="B187" r:id="rId79" display="https://xbrl.efrag.org/eng/interactive/vsme/vsme-guidance-annex-ii/2025-07-30-ec-rec/174" xr:uid="{3332D126-0D3A-487D-8EA3-F1F86FABDCC2}"/>
    <hyperlink ref="B188" r:id="rId80" display="https://xbrl.efrag.org/eng/interactive/vsme/vsme-guidance-annex-ii/2025-07-30-ec-rec/174" xr:uid="{F925DB5F-028A-4910-A85A-739E8E35F229}"/>
    <hyperlink ref="B189" r:id="rId81" display="https://xbrl.efrag.org/eng/interactive/vsme/vsme-guidance-annex-ii/2025-07-30-ec-rec/174" xr:uid="{7E2C1FA0-BF74-4E9C-9226-D9EA1B346D7C}"/>
    <hyperlink ref="B190" r:id="rId82" display="https://xbrl.efrag.org/eng/interactive/vsme/vsme-guidance-annex-ii/2025-07-30-ec-rec/174" xr:uid="{A4A94B65-7800-4536-AA15-3E3817B90BFB}"/>
    <hyperlink ref="B191" r:id="rId83" display="https://xbrl.efrag.org/eng/interactive/vsme/vsme-guidance-annex-ii/2025-07-30-ec-rec/174" xr:uid="{429E65FF-4151-47CA-9440-AD55907CC30E}"/>
    <hyperlink ref="B192" r:id="rId84" display="https://xbrl.efrag.org/eng/interactive/vsme/vsme-guidance-annex-ii/2025-07-30-ec-rec/174" xr:uid="{4E9248DE-3C7F-487D-885D-AC5F2BDFA45D}"/>
    <hyperlink ref="B193" r:id="rId85" display="https://xbrl.efrag.org/eng/interactive/vsme/vsme-guidance-annex-ii/2025-07-30-ec-rec/174" xr:uid="{2908366A-15C9-4C2F-BA5E-D048D6FFDF7A}"/>
    <hyperlink ref="B194" r:id="rId86" display="https://xbrl.efrag.org/eng/interactive/vsme/vsme-guidance-annex-ii/2025-07-30-ec-rec/174" xr:uid="{776DE015-4DF2-44E3-A7D9-CD366BB7D918}"/>
    <hyperlink ref="B141" r:id="rId87" xr:uid="{10325A92-4534-41F4-933D-08B26E504FC3}"/>
    <hyperlink ref="B142" r:id="rId88" xr:uid="{1A6F7006-BBE9-410C-B55B-75B449A59A0F}"/>
    <hyperlink ref="B143" r:id="rId89" xr:uid="{5DCC0FB2-6BC5-4CB6-AA33-4B56399A70A7}"/>
    <hyperlink ref="B149" r:id="rId90" xr:uid="{985191A6-08B6-463A-9892-9508669475E1}"/>
    <hyperlink ref="B150" r:id="rId91" xr:uid="{C22D5BD3-0F51-4FC4-9ED3-3C6207CA94E5}"/>
    <hyperlink ref="B169" r:id="rId92" xr:uid="{4E2EB394-1514-475F-A549-6B5ADC5A7ED2}"/>
    <hyperlink ref="B166" r:id="rId93" xr:uid="{D278DC32-8277-4A39-B148-40BD4ACC5845}"/>
    <hyperlink ref="B167" r:id="rId94" xr:uid="{1ED1619E-8E9E-4675-BD93-DB3B39EBEDF8}"/>
  </hyperlinks>
  <pageMargins left="0.7" right="0.7" top="0.75" bottom="0.75" header="0.3" footer="0.3"/>
  <drawing r:id="rId95"/>
  <extLst>
    <ext xmlns:x14="http://schemas.microsoft.com/office/spreadsheetml/2009/9/main" uri="{78C0D931-6437-407d-A8EE-F0AAD7539E65}">
      <x14:conditionalFormattings>
        <x14:conditionalFormatting xmlns:xm="http://schemas.microsoft.com/office/excel/2006/main">
          <x14:cfRule type="expression" priority="56" id="{C1AD0EBF-9256-40D4-AB7C-630EAFD99990}">
            <xm:f>'General Information'!$E$328&gt;50</xm:f>
            <x14:dxf>
              <fill>
                <patternFill patternType="solid">
                  <bgColor rgb="FFFFFF99"/>
                </patternFill>
              </fill>
            </x14:dxf>
          </x14:cfRule>
          <xm:sqref>C134:H136</xm:sqref>
        </x14:conditionalFormatting>
        <x14:conditionalFormatting xmlns:xm="http://schemas.microsoft.com/office/excel/2006/main">
          <x14:cfRule type="expression" priority="43" id="{41BDF252-99BC-47B0-A14B-5396CCC7A6C9}">
            <xm:f>'General Information'!$E$328&gt;150</xm:f>
            <x14:dxf>
              <fill>
                <patternFill patternType="solid">
                  <bgColor rgb="FFFFFF99"/>
                </patternFill>
              </fill>
            </x14:dxf>
          </x14:cfRule>
          <xm:sqref>C148:H149</xm:sqref>
        </x14:conditionalFormatting>
        <x14:conditionalFormatting xmlns:xm="http://schemas.microsoft.com/office/excel/2006/main">
          <x14:cfRule type="expression" priority="36" id="{0A250C4B-DD07-4841-AABD-2DCC525B6367}">
            <xm:f>'General Information'!$E$328&gt;50</xm:f>
            <x14:dxf>
              <fill>
                <patternFill patternType="solid">
                  <bgColor rgb="FFFFFF99"/>
                </patternFill>
              </fill>
            </x14:dxf>
          </x14:cfRule>
          <xm:sqref>C165:H166</xm:sqref>
        </x14:conditionalFormatting>
        <x14:conditionalFormatting xmlns:xm="http://schemas.microsoft.com/office/excel/2006/main">
          <x14:cfRule type="expression" priority="35" id="{69F3CDF1-C506-4C12-A20E-FE804D24A482}">
            <xm:f>'General Information'!$E$328&gt;50</xm:f>
            <x14:dxf>
              <fill>
                <patternFill patternType="none">
                  <bgColor auto="1"/>
                </patternFill>
              </fill>
            </x14:dxf>
          </x14:cfRule>
          <xm:sqref>D168:H169</xm:sqref>
        </x14:conditionalFormatting>
        <x14:conditionalFormatting xmlns:xm="http://schemas.microsoft.com/office/excel/2006/main">
          <x14:cfRule type="expression" priority="34" id="{9B10E77F-7102-491B-A9C8-C6F978FDB272}">
            <xm:f>'General Information'!$E$122="Option A (Basic Module only)"</xm:f>
            <x14:dxf>
              <fill>
                <patternFill>
                  <bgColor theme="0" tint="-0.14996795556505021"/>
                </patternFill>
              </fill>
            </x14:dxf>
          </x14:cfRule>
          <xm:sqref>D174:H179</xm:sqref>
        </x14:conditionalFormatting>
        <x14:conditionalFormatting xmlns:xm="http://schemas.microsoft.com/office/excel/2006/main">
          <x14:cfRule type="expression" priority="23" id="{04A7DFC3-A5B9-44F5-A88C-400BD569DEEE}">
            <xm:f>'General Information'!$E$122="Option A (Basic Module only)"</xm:f>
            <x14:dxf>
              <fill>
                <patternFill>
                  <bgColor theme="0" tint="-0.14996795556505021"/>
                </patternFill>
              </fill>
            </x14:dxf>
          </x14:cfRule>
          <xm:sqref>D186:H190</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xr:uid="{36E3C7AF-FE8A-4BFE-93E5-E05EE51CA186}">
          <x14:formula1>
            <xm:f>IF('General Information'!$E$330="","-",'General Information'!$E$330)</xm:f>
          </x14:formula1>
          <xm:sqref>F2:H2</xm:sqref>
        </x14:dataValidation>
        <x14:dataValidation type="custom" showInputMessage="1" showErrorMessage="1" xr:uid="{5CB0FDEF-7EB7-4204-AC9A-257032190656}">
          <x14:formula1>
            <xm:f>IF('General Information'!$E$328="","-",'General Information'!$E$328)</xm:f>
          </x14:formula1>
          <xm:sqref>D22:G22 E129</xm:sqref>
        </x14:dataValidation>
        <x14:dataValidation type="decimal" operator="lessThanOrEqual" showInputMessage="1" showErrorMessage="1" xr:uid="{0C498D34-B549-4574-AAED-C478F3CDADCC}">
          <x14:formula1>
            <xm:f>'General Information'!E328</xm:f>
          </x14:formula1>
          <xm:sqref>D151:H151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dimension ref="A1:BZ218"/>
  <sheetViews>
    <sheetView zoomScaleNormal="100" workbookViewId="0"/>
  </sheetViews>
  <sheetFormatPr defaultColWidth="8.88671875" defaultRowHeight="14.4" x14ac:dyDescent="0.3"/>
  <cols>
    <col min="1" max="2" width="10" bestFit="1" customWidth="1"/>
    <col min="3" max="3" width="33.5546875" customWidth="1"/>
    <col min="5" max="5" width="14.44140625" customWidth="1"/>
    <col min="7" max="7" width="24.33203125" customWidth="1"/>
    <col min="8" max="8" width="38.44140625" customWidth="1"/>
    <col min="9" max="9" width="15.5546875" style="15" customWidth="1"/>
    <col min="10" max="10" width="16.44140625" style="10" customWidth="1"/>
    <col min="11" max="17" width="8.5546875" style="10"/>
    <col min="18" max="78" width="8.6640625" style="10"/>
  </cols>
  <sheetData>
    <row r="1" spans="1:9" ht="43.8" thickBot="1" x14ac:dyDescent="0.35">
      <c r="A1" s="258" t="s">
        <v>3729</v>
      </c>
      <c r="B1" s="258" t="s">
        <v>3728</v>
      </c>
      <c r="C1" s="10"/>
      <c r="D1" s="10"/>
      <c r="E1" s="10"/>
      <c r="F1" s="10"/>
      <c r="G1" s="10"/>
      <c r="H1" s="10"/>
    </row>
    <row r="2" spans="1:9" x14ac:dyDescent="0.3">
      <c r="A2" s="10"/>
      <c r="B2" s="10"/>
      <c r="C2" s="623"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2024-01-01 to 2024-12-31 [If applicable]</v>
      </c>
      <c r="D2" s="624"/>
      <c r="E2" s="624"/>
      <c r="F2" s="624"/>
      <c r="G2" s="624"/>
      <c r="H2" s="625"/>
    </row>
    <row r="3" spans="1:9" x14ac:dyDescent="0.3">
      <c r="A3" s="10"/>
      <c r="B3" s="10"/>
      <c r="C3" s="1129">
        <v>43</v>
      </c>
      <c r="D3" s="1130"/>
      <c r="E3" s="1130"/>
      <c r="F3" s="1130"/>
      <c r="G3" s="1130"/>
      <c r="H3" s="1131"/>
    </row>
    <row r="4" spans="1:9" x14ac:dyDescent="0.3">
      <c r="A4" s="10"/>
      <c r="B4" s="10"/>
      <c r="C4" s="1132" t="s">
        <v>5662</v>
      </c>
      <c r="D4" s="1100"/>
      <c r="E4" s="1100"/>
      <c r="F4" s="1100"/>
      <c r="G4" s="1100"/>
      <c r="H4" s="1133"/>
    </row>
    <row r="5" spans="1:9" s="10" customFormat="1" x14ac:dyDescent="0.3">
      <c r="C5" s="1108" t="str">
        <f>template_label_has_the_undertaking_incurred_in_convictions_and_fines_in_the_reporting_period</f>
        <v>Has the undertaking incurred in convictions and fines in the reporting period?</v>
      </c>
      <c r="D5" s="1109"/>
      <c r="E5" s="1109"/>
      <c r="F5" s="1109"/>
      <c r="G5" s="1109"/>
      <c r="H5" s="168" t="b">
        <v>1</v>
      </c>
      <c r="I5" s="15"/>
    </row>
    <row r="6" spans="1:9" s="10" customFormat="1" ht="21.6" customHeight="1" x14ac:dyDescent="0.3">
      <c r="C6" s="1152" t="str">
        <f>template_label_total_number_of_convictions_for_the_violation_of_anti_corruption_and_anti_bribery_laws</f>
        <v>Total number of convictions  for the violation of anti-corruption and anti-bribery laws</v>
      </c>
      <c r="D6" s="1153"/>
      <c r="E6" s="1153"/>
      <c r="F6" s="1153"/>
      <c r="G6" s="1154"/>
      <c r="H6" s="289">
        <v>1</v>
      </c>
      <c r="I6" s="15" t="str">
        <f>IF(AND($H$5=TRUE,H6&lt;&gt;""), template_label_ok,
IF(AND($H$5=TRUE,H6=""), template_label_missing_value, ""))</f>
        <v>OK</v>
      </c>
    </row>
    <row r="7" spans="1:9" s="10" customFormat="1" ht="15" thickBot="1" x14ac:dyDescent="0.35">
      <c r="C7" s="1155" t="str">
        <f>template_label_total_amount_of_fines_for_the_violation_of_anti_corruption_and_anti_bribery_laws &amp; " " &amp; "(" &amp; template_label_amount_in &amp; " " &amp; template_currency &amp; ")"</f>
        <v>Total amount of fines for the violation of anti-corruption and anti-bribery laws (amount in EUR)</v>
      </c>
      <c r="D7" s="1156"/>
      <c r="E7" s="1156"/>
      <c r="F7" s="1156"/>
      <c r="G7" s="1157"/>
      <c r="H7" s="290">
        <v>5000</v>
      </c>
      <c r="I7" s="15" t="str">
        <f>IF(AND($H$5=TRUE,H7&lt;&gt;""), template_label_ok,
IF(AND($H$5=TRUE,H7=""), template_label_missing_value, ""))</f>
        <v>OK</v>
      </c>
    </row>
    <row r="8" spans="1:9" s="10" customFormat="1" ht="15" thickBot="1" x14ac:dyDescent="0.35">
      <c r="I8" s="15"/>
    </row>
    <row r="9" spans="1:9" s="10" customFormat="1" x14ac:dyDescent="0.3">
      <c r="C9" s="918" t="str">
        <f>template_label_c8_revenues_from_certain_sectors&amp;" "&amp;template_label_from&amp;" "&amp;template_starting_date_display&amp;" "&amp;template_label_to&amp;" "&amp;template_ending_date_display&amp;" "&amp;template_label_if_applicable</f>
        <v>C8 – Revenues from certain activities from 2024-01-01 to 2024-12-31 [If applicable]</v>
      </c>
      <c r="D9" s="1124"/>
      <c r="E9" s="1124"/>
      <c r="F9" s="1124"/>
      <c r="G9" s="1124"/>
      <c r="H9" s="1125"/>
      <c r="I9" s="15"/>
    </row>
    <row r="10" spans="1:9" ht="28.2" customHeight="1" x14ac:dyDescent="0.3">
      <c r="A10" s="10"/>
      <c r="B10" s="10"/>
      <c r="C10" s="1108" t="str">
        <f>template_label_is_the_undertaking_deriving_revenues_from_one_of_the_activities_listed_below</f>
        <v>Is the undertaking deriving revenues from one of the activities listed below?</v>
      </c>
      <c r="D10" s="1109"/>
      <c r="E10" s="1109"/>
      <c r="F10" s="1109"/>
      <c r="G10" s="1109"/>
      <c r="H10" s="169" t="b">
        <v>0</v>
      </c>
    </row>
    <row r="11" spans="1:9" x14ac:dyDescent="0.3">
      <c r="A11" s="10"/>
      <c r="B11" s="10"/>
      <c r="C11" s="1138"/>
      <c r="D11" s="1139"/>
      <c r="E11" s="1139"/>
      <c r="F11" s="1139"/>
      <c r="G11" s="1139"/>
      <c r="H11" s="53" t="str">
        <f>template_label_monetary_amount_in &amp; " " &amp; template_currency</f>
        <v>Monetary amount in EUR</v>
      </c>
    </row>
    <row r="12" spans="1:9" s="10" customFormat="1" ht="32.4" customHeight="1" x14ac:dyDescent="0.3">
      <c r="A12" s="443" t="s">
        <v>3768</v>
      </c>
      <c r="B12" s="446" t="s">
        <v>5664</v>
      </c>
      <c r="C12" s="649" t="str">
        <f>template_label_revenue_derived_from_controversial_weapons</f>
        <v>Revenue derived from controversial weapons (anti-personnel mines cluster munitions chemical weapons and biological weapons)</v>
      </c>
      <c r="D12" s="650"/>
      <c r="E12" s="650"/>
      <c r="F12" s="650"/>
      <c r="G12" s="650"/>
      <c r="H12" s="285"/>
      <c r="I12" s="1112" t="str">
        <f>IF(AND(H10=FALSE,COUNTA(H12:H16)=0, H18=""),
    "",
    IF(AND(OR(COUNTA(H12:H16)&gt;0, H18&lt;&gt;""), SUM(H12:H16, H18)&lt;='General Information'!E327),
        template_label_ok,
        IF(AND(H10=TRUE, COUNTA(H12:H16)=0, H18=""),
            template_label_missing_value,
            template_label_value_inconsistency
        )
    )
)</f>
        <v/>
      </c>
    </row>
    <row r="13" spans="1:9" s="10" customFormat="1" ht="15" thickBot="1" x14ac:dyDescent="0.35">
      <c r="A13" s="443" t="s">
        <v>3769</v>
      </c>
      <c r="B13" s="446" t="s">
        <v>5664</v>
      </c>
      <c r="C13" s="727" t="str">
        <f>template_label_revenue_derived_from_cultivation_and_production_of_tobacco</f>
        <v>Revenue derived from cultivation and production of tobacco</v>
      </c>
      <c r="D13" s="869"/>
      <c r="E13" s="869"/>
      <c r="F13" s="869"/>
      <c r="G13" s="869"/>
      <c r="H13" s="286"/>
      <c r="I13" s="1112"/>
    </row>
    <row r="14" spans="1:9" s="10" customFormat="1" x14ac:dyDescent="0.3">
      <c r="A14" s="454" t="s">
        <v>3770</v>
      </c>
      <c r="B14" s="446" t="s">
        <v>5664</v>
      </c>
      <c r="C14" s="1113" t="str">
        <f>template_label_revenue_derived_from_coal</f>
        <v>Revenue derived from coal</v>
      </c>
      <c r="D14" s="1114"/>
      <c r="E14" s="1114"/>
      <c r="F14" s="1114"/>
      <c r="G14" s="1114"/>
      <c r="H14" s="287"/>
      <c r="I14" s="1112"/>
    </row>
    <row r="15" spans="1:9" s="10" customFormat="1" x14ac:dyDescent="0.3">
      <c r="A15" s="454" t="s">
        <v>3770</v>
      </c>
      <c r="B15" s="446" t="s">
        <v>5664</v>
      </c>
      <c r="C15" s="649" t="str">
        <f>template_label_revenue_derived_from_oil</f>
        <v>Revenue derived from oil</v>
      </c>
      <c r="D15" s="650"/>
      <c r="E15" s="650"/>
      <c r="F15" s="650"/>
      <c r="G15" s="650"/>
      <c r="H15" s="285"/>
      <c r="I15" s="1112"/>
    </row>
    <row r="16" spans="1:9" s="10" customFormat="1" x14ac:dyDescent="0.3">
      <c r="A16" s="454" t="s">
        <v>3770</v>
      </c>
      <c r="B16" s="446" t="s">
        <v>5664</v>
      </c>
      <c r="C16" s="649" t="str">
        <f>template_label_revenue_derived_from_gas</f>
        <v>Revenue derived from gas</v>
      </c>
      <c r="D16" s="650"/>
      <c r="E16" s="650"/>
      <c r="F16" s="650"/>
      <c r="G16" s="650"/>
      <c r="H16" s="285"/>
      <c r="I16" s="1112"/>
    </row>
    <row r="17" spans="1:9" s="10" customFormat="1" ht="60.6" customHeight="1" thickBot="1" x14ac:dyDescent="0.35">
      <c r="A17" s="454" t="s">
        <v>3770</v>
      </c>
      <c r="B17" s="446" t="s">
        <v>5664</v>
      </c>
      <c r="C17" s="1110"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111"/>
      <c r="E17" s="1111"/>
      <c r="F17" s="1111"/>
      <c r="G17" s="1111"/>
      <c r="H17" s="281" t="str">
        <f>IF(COUNTA(H14:H16)=0, "-", SUM(H14:H16))</f>
        <v>-</v>
      </c>
      <c r="I17" s="1112"/>
    </row>
    <row r="18" spans="1:9" s="10" customFormat="1" ht="15" thickBot="1" x14ac:dyDescent="0.35">
      <c r="A18" s="443" t="s">
        <v>3771</v>
      </c>
      <c r="B18" s="446" t="s">
        <v>5664</v>
      </c>
      <c r="C18" s="729" t="str">
        <f>template_label_revenue_derived_from_chemicals_production</f>
        <v>Revenue derived from chemicals production</v>
      </c>
      <c r="D18" s="1137"/>
      <c r="E18" s="1137"/>
      <c r="F18" s="1137"/>
      <c r="G18" s="1137"/>
      <c r="H18" s="288"/>
      <c r="I18" s="1112"/>
    </row>
    <row r="19" spans="1:9" s="10" customFormat="1" ht="15" thickBot="1" x14ac:dyDescent="0.35">
      <c r="I19" s="15"/>
    </row>
    <row r="20" spans="1:9" s="10" customFormat="1" x14ac:dyDescent="0.3">
      <c r="C20" s="918" t="str">
        <f>template_label_c8_exclusion_from_eu_reference_benchmarks&amp;" "&amp;template_label_from&amp;" "&amp;template_starting_date_display&amp;" "&amp;template_label_to&amp;" "&amp;template_ending_date_display&amp;" "&amp;template_label_always_to_be_reported</f>
        <v>C8 – Exclusion from EU reference benchmarks from 2024-01-01 to 2024-12-31 [Always to be reported]</v>
      </c>
      <c r="D20" s="1124"/>
      <c r="E20" s="1124"/>
      <c r="F20" s="1124"/>
      <c r="G20" s="1124"/>
      <c r="H20" s="1125"/>
      <c r="I20" s="15"/>
    </row>
    <row r="21" spans="1:9" s="10" customFormat="1" x14ac:dyDescent="0.3">
      <c r="B21" s="401"/>
      <c r="C21" s="1134" t="str">
        <f>template_label_undertakings_are_excluded_from_the_eu_paris_aligned_benchmarks_if_they_derive</f>
        <v>Undertakings are excluded from the EU Paris-aligned Benchmarks if they  derive:</v>
      </c>
      <c r="D21" s="1135"/>
      <c r="E21" s="1135"/>
      <c r="F21" s="1135"/>
      <c r="G21" s="1135"/>
      <c r="H21" s="1136"/>
      <c r="I21" s="15"/>
    </row>
    <row r="22" spans="1:9" s="10" customFormat="1" ht="30" customHeight="1" x14ac:dyDescent="0.3">
      <c r="A22" s="443">
        <v>64</v>
      </c>
      <c r="B22" s="446" t="s">
        <v>5663</v>
      </c>
      <c r="C22" s="1140" t="str">
        <f>template_label_1_percent_or_more_of_their_revenues_from_exploration_mining_extraction_distribution_or_refining_of_hard_coal_and_lignite</f>
        <v>1% or more of their revenues from exploration mining extraction distribution or refining of hard coal and lignite</v>
      </c>
      <c r="D22" s="1141"/>
      <c r="E22" s="1141"/>
      <c r="F22" s="1141"/>
      <c r="G22" s="1142"/>
      <c r="H22" s="170" t="b">
        <v>0</v>
      </c>
      <c r="I22" s="1046" t="str">
        <f>IF(AND(OR(H22=TRUE, H23=TRUE, H24=TRUE, H25=TRUE), 'General Information'!E122="Option B (Basic Module and Comprehensive Module)"), template_label_ok,
    IF(AND(H22=FALSE, H23=FALSE, H24=FALSE, H25=FALSE, H26=FALSE, 'General Information'!E122="Option B (Basic Module and Comprehensive Module)"), template_label_missing_value,
    IF('General Information'!E122="Option A (Basic Module only)", "",
    IF(AND('General Information'!E122="Option B (Basic Module and Comprehensive Module)", H26=TRUE), template_label_ok, ""))))</f>
        <v>OK</v>
      </c>
    </row>
    <row r="23" spans="1:9" s="10" customFormat="1" x14ac:dyDescent="0.3">
      <c r="A23" s="443">
        <v>64</v>
      </c>
      <c r="B23" s="446" t="s">
        <v>5665</v>
      </c>
      <c r="C23" s="1143" t="str">
        <f>template_label_10_percent_or_more_of_their_revenues_from_the_exploration_extraction_distribution_or_refining_of_oil_fuels</f>
        <v>10% or more of their revenues from the exploration extraction distribution or refining of oil fuels</v>
      </c>
      <c r="D23" s="1144"/>
      <c r="E23" s="1144"/>
      <c r="F23" s="1144"/>
      <c r="G23" s="1145"/>
      <c r="H23" s="171" t="b">
        <v>0</v>
      </c>
      <c r="I23" s="1046"/>
    </row>
    <row r="24" spans="1:9" s="10" customFormat="1" ht="32.4" customHeight="1" x14ac:dyDescent="0.3">
      <c r="A24" s="443">
        <v>64</v>
      </c>
      <c r="B24" s="446" t="s">
        <v>5666</v>
      </c>
      <c r="C24" s="1146" t="str">
        <f>template_label_50_percent_or_more_of_their_revenues_from_the_exploration_extraction_manufacturing_or_distribution_of_gaseous_fuels</f>
        <v>50% or more of their revenues from the exploration extraction manufacturing or distribution of gaseous fuels</v>
      </c>
      <c r="D24" s="1147"/>
      <c r="E24" s="1147"/>
      <c r="F24" s="1147"/>
      <c r="G24" s="1148"/>
      <c r="H24" s="171" t="b">
        <v>0</v>
      </c>
      <c r="I24" s="1046"/>
    </row>
    <row r="25" spans="1:9" s="10" customFormat="1" ht="31.2" customHeight="1" thickBot="1" x14ac:dyDescent="0.35">
      <c r="A25" s="443">
        <v>64</v>
      </c>
      <c r="B25" s="446" t="s">
        <v>5667</v>
      </c>
      <c r="C25" s="1149" t="str">
        <f>template_label_50_percent_or_more_of_their_revenues_from_electricity_generation</f>
        <v>50% or more of their revenues from electricity generation with a GHG intensity of more than 100g CO2 e kWh</v>
      </c>
      <c r="D25" s="1150"/>
      <c r="E25" s="1150"/>
      <c r="F25" s="1150"/>
      <c r="G25" s="1151"/>
      <c r="H25" s="172" t="b">
        <v>0</v>
      </c>
      <c r="I25" s="1046"/>
    </row>
    <row r="26" spans="1:9" s="10" customFormat="1" ht="15" thickBot="1" x14ac:dyDescent="0.35">
      <c r="C26" s="1118" t="str">
        <f>template_label_none_of_the_above</f>
        <v>None of the above</v>
      </c>
      <c r="D26" s="1119"/>
      <c r="E26" s="1119"/>
      <c r="F26" s="1119"/>
      <c r="G26" s="1120"/>
      <c r="H26" s="173" t="b">
        <v>1</v>
      </c>
      <c r="I26" s="1046"/>
    </row>
    <row r="27" spans="1:9" s="10" customFormat="1" ht="15" thickBot="1" x14ac:dyDescent="0.35">
      <c r="A27" s="443">
        <v>64</v>
      </c>
      <c r="B27" s="446">
        <v>177</v>
      </c>
      <c r="C27" s="1121" t="str">
        <f>template_label_undertakings_are_excluded_from_any_eu_reference_benchmarks_that_are_aligned_with_the_paris_agreement</f>
        <v>Undertakings are excluded from any EU reference benchmarks that are aligned with the Paris Agreement</v>
      </c>
      <c r="D27" s="1122"/>
      <c r="E27" s="1122"/>
      <c r="F27" s="1122"/>
      <c r="G27" s="1123"/>
      <c r="H27" s="20" t="str">
        <f>IF(AND(OR(H22=TRUE, H23=TRUE, H24=TRUE, H25=TRUE), H26=FALSE), "YES",
   IF(AND(OR(H22=TRUE, H23=TRUE, H24=TRUE, H25=TRUE), H26=TRUE), "NA",
   IF(AND(H22=FALSE, H23=FALSE, H24=FALSE, H25=FALSE, H26=TRUE), "NO",
   IF(AND(H22=FALSE, H23=FALSE, H24=FALSE, H25=FALSE, H26=FALSE), "-", ""))))</f>
        <v>NO</v>
      </c>
      <c r="I27" s="15" t="str">
        <f>IF(H27=TRUE, template_label_ok, "")</f>
        <v/>
      </c>
    </row>
    <row r="28" spans="1:9" s="10" customFormat="1" ht="15" thickBot="1" x14ac:dyDescent="0.35">
      <c r="I28" s="15"/>
    </row>
    <row r="29" spans="1:9" s="10" customFormat="1" x14ac:dyDescent="0.3">
      <c r="C29" s="1126" t="str">
        <f>template_label_c9_gender_diversity_ratio_in_the_governance_body&amp;" "&amp;template_label_at&amp;" "&amp;template_ending_date_display&amp;" "&amp;template_label_if_applicable</f>
        <v>C9 – Gender diversity ratio in the governance body at 2024-12-31 [If applicable]</v>
      </c>
      <c r="D29" s="1127"/>
      <c r="E29" s="1127"/>
      <c r="F29" s="1127"/>
      <c r="G29" s="1127"/>
      <c r="H29" s="1128"/>
      <c r="I29" s="15"/>
    </row>
    <row r="30" spans="1:9" s="10" customFormat="1" x14ac:dyDescent="0.3">
      <c r="C30" s="1108" t="str">
        <f>template_label_does_the_undertaking_have_a_governance_body_in_place</f>
        <v>Does the undertaking have a governance body in place?</v>
      </c>
      <c r="D30" s="1109"/>
      <c r="E30" s="1109"/>
      <c r="F30" s="1109"/>
      <c r="G30" s="1109"/>
      <c r="H30" s="169" t="b">
        <v>1</v>
      </c>
      <c r="I30" s="15"/>
    </row>
    <row r="31" spans="1:9" s="10" customFormat="1" x14ac:dyDescent="0.3">
      <c r="A31" s="1100">
        <v>65</v>
      </c>
      <c r="B31" s="1103" t="s">
        <v>5668</v>
      </c>
      <c r="C31" s="1108" t="str">
        <f>template_label_number_of_female_board_members_at_the_end_of_the_reporting_period</f>
        <v>Number of female board members at the end of the reporting period</v>
      </c>
      <c r="D31" s="1109"/>
      <c r="E31" s="1109"/>
      <c r="F31" s="1109"/>
      <c r="G31" s="1109"/>
      <c r="H31" s="285">
        <v>5</v>
      </c>
      <c r="I31" s="15" t="str">
        <f>IF(AND($H$30=TRUE, H31&lt;&gt;""), template_label_ok, IF(AND($H$30=TRUE, H31=""), template_label_missing_value, ""))</f>
        <v>OK</v>
      </c>
    </row>
    <row r="32" spans="1:9" s="10" customFormat="1" x14ac:dyDescent="0.3">
      <c r="A32" s="1101"/>
      <c r="B32" s="1104"/>
      <c r="C32" s="1108" t="str">
        <f>template_label_number_of_male_board_members_at_the_end_of_the_reporting_period</f>
        <v>Number of male board members at the end of the reporting period</v>
      </c>
      <c r="D32" s="1109"/>
      <c r="E32" s="1109"/>
      <c r="F32" s="1109"/>
      <c r="G32" s="1109"/>
      <c r="H32" s="285">
        <v>2</v>
      </c>
      <c r="I32" s="15" t="str">
        <f>IF(AND($H$30=TRUE, H32&lt;&gt;""), template_label_ok, IF(AND($H$30=TRUE, H32=""), template_label_missing_value, ""))</f>
        <v>OK</v>
      </c>
    </row>
    <row r="33" spans="1:9" s="10" customFormat="1" ht="15" thickBot="1" x14ac:dyDescent="0.35">
      <c r="A33" s="1102"/>
      <c r="B33" s="1105"/>
      <c r="C33" s="1106" t="str">
        <f>template_label_gender_diversity_ratio_in_governance_body</f>
        <v>Gender diversity ratio in governance body</v>
      </c>
      <c r="D33" s="1107"/>
      <c r="E33" s="1107"/>
      <c r="F33" s="1107"/>
      <c r="G33" s="1107"/>
      <c r="H33" s="281">
        <f>IF(AND(H31&lt;&gt;"",H32&lt;&gt;""),IF(OR(H31=0,H32=0),0,H31/H32),"-")</f>
        <v>2.5</v>
      </c>
      <c r="I33" s="15"/>
    </row>
    <row r="34" spans="1:9" s="10" customFormat="1" x14ac:dyDescent="0.3">
      <c r="I34" s="15"/>
    </row>
    <row r="35" spans="1:9" s="10" customFormat="1" x14ac:dyDescent="0.3">
      <c r="I35" s="15"/>
    </row>
    <row r="36" spans="1:9" s="10" customFormat="1" x14ac:dyDescent="0.3">
      <c r="C36" s="577"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 or entity specific governance disclosures from 2024-01-01 to 2024-12-31 [May (optional)]</v>
      </c>
      <c r="D36" s="578"/>
      <c r="E36" s="578"/>
      <c r="F36" s="578"/>
      <c r="G36" s="578"/>
      <c r="H36" s="579"/>
      <c r="I36" s="15"/>
    </row>
    <row r="37" spans="1:9" s="10" customFormat="1" x14ac:dyDescent="0.3">
      <c r="C37" s="1115">
        <v>10</v>
      </c>
      <c r="D37" s="1116"/>
      <c r="E37" s="1116"/>
      <c r="F37" s="1116"/>
      <c r="G37" s="1116"/>
      <c r="H37" s="1117"/>
      <c r="I37" s="15"/>
    </row>
    <row r="38" spans="1:9" s="10" customFormat="1" ht="15" thickBot="1" x14ac:dyDescent="0.35">
      <c r="C38" s="571"/>
      <c r="D38" s="572"/>
      <c r="E38" s="572"/>
      <c r="F38" s="572"/>
      <c r="G38" s="572"/>
      <c r="H38" s="1097"/>
      <c r="I38" s="19" t="str">
        <f>IF(C38&lt;&gt;"",template_label_ok, "")</f>
        <v/>
      </c>
    </row>
    <row r="39" spans="1:9" s="10" customFormat="1" x14ac:dyDescent="0.3">
      <c r="I39" s="15"/>
    </row>
    <row r="40" spans="1:9" s="10" customFormat="1" x14ac:dyDescent="0.3">
      <c r="I40" s="15"/>
    </row>
    <row r="41" spans="1:9" s="10" customFormat="1" x14ac:dyDescent="0.3">
      <c r="I41" s="15"/>
    </row>
    <row r="42" spans="1:9" s="10" customFormat="1" x14ac:dyDescent="0.3">
      <c r="I42" s="15"/>
    </row>
    <row r="43" spans="1:9" s="10" customFormat="1" x14ac:dyDescent="0.3">
      <c r="I43" s="15"/>
    </row>
    <row r="44" spans="1:9" s="10" customFormat="1" x14ac:dyDescent="0.3">
      <c r="I44" s="15"/>
    </row>
    <row r="45" spans="1:9" s="10" customFormat="1" x14ac:dyDescent="0.3">
      <c r="I45" s="15"/>
    </row>
    <row r="46" spans="1:9" s="10" customFormat="1" x14ac:dyDescent="0.3">
      <c r="I46" s="15"/>
    </row>
    <row r="47" spans="1:9" s="10" customFormat="1" x14ac:dyDescent="0.3">
      <c r="I47" s="15"/>
    </row>
    <row r="48" spans="1:9" s="10" customFormat="1" x14ac:dyDescent="0.3">
      <c r="I48" s="15"/>
    </row>
    <row r="49" spans="9:9" s="10" customFormat="1" x14ac:dyDescent="0.3">
      <c r="I49" s="15"/>
    </row>
    <row r="50" spans="9:9" s="10" customFormat="1" x14ac:dyDescent="0.3">
      <c r="I50" s="15"/>
    </row>
    <row r="51" spans="9:9" s="10" customFormat="1" x14ac:dyDescent="0.3">
      <c r="I51" s="15"/>
    </row>
    <row r="52" spans="9:9" s="10" customFormat="1" x14ac:dyDescent="0.3">
      <c r="I52" s="15"/>
    </row>
    <row r="53" spans="9:9" s="10" customFormat="1" x14ac:dyDescent="0.3">
      <c r="I53" s="15"/>
    </row>
    <row r="54" spans="9:9" s="10" customFormat="1" x14ac:dyDescent="0.3">
      <c r="I54" s="15"/>
    </row>
    <row r="55" spans="9:9" s="10" customFormat="1" x14ac:dyDescent="0.3">
      <c r="I55" s="15"/>
    </row>
    <row r="56" spans="9:9" s="10" customFormat="1" x14ac:dyDescent="0.3">
      <c r="I56" s="15"/>
    </row>
    <row r="57" spans="9:9" s="10" customFormat="1" x14ac:dyDescent="0.3">
      <c r="I57" s="15"/>
    </row>
    <row r="58" spans="9:9" s="10" customFormat="1" x14ac:dyDescent="0.3">
      <c r="I58" s="15"/>
    </row>
    <row r="59" spans="9:9" s="10" customFormat="1" x14ac:dyDescent="0.3">
      <c r="I59" s="15"/>
    </row>
    <row r="60" spans="9:9" s="10" customFormat="1" x14ac:dyDescent="0.3">
      <c r="I60" s="15"/>
    </row>
    <row r="61" spans="9:9" s="10" customFormat="1" x14ac:dyDescent="0.3">
      <c r="I61" s="15"/>
    </row>
    <row r="62" spans="9:9" s="10" customFormat="1" x14ac:dyDescent="0.3">
      <c r="I62" s="15"/>
    </row>
    <row r="63" spans="9:9" s="10" customFormat="1" x14ac:dyDescent="0.3">
      <c r="I63" s="15"/>
    </row>
    <row r="64" spans="9:9" s="10" customFormat="1" x14ac:dyDescent="0.3">
      <c r="I64" s="15"/>
    </row>
    <row r="65" spans="9:9" s="10" customFormat="1" x14ac:dyDescent="0.3">
      <c r="I65" s="15"/>
    </row>
    <row r="66" spans="9:9" s="10" customFormat="1" x14ac:dyDescent="0.3">
      <c r="I66" s="15"/>
    </row>
    <row r="67" spans="9:9" s="10" customFormat="1" x14ac:dyDescent="0.3">
      <c r="I67" s="15"/>
    </row>
    <row r="68" spans="9:9" s="10" customFormat="1" x14ac:dyDescent="0.3">
      <c r="I68" s="15"/>
    </row>
    <row r="69" spans="9:9" s="10" customFormat="1" x14ac:dyDescent="0.3">
      <c r="I69" s="15"/>
    </row>
    <row r="70" spans="9:9" s="10" customFormat="1" x14ac:dyDescent="0.3">
      <c r="I70" s="15"/>
    </row>
    <row r="71" spans="9:9" s="10" customFormat="1" x14ac:dyDescent="0.3">
      <c r="I71" s="15"/>
    </row>
    <row r="72" spans="9:9" s="10" customFormat="1" x14ac:dyDescent="0.3">
      <c r="I72" s="15"/>
    </row>
    <row r="73" spans="9:9" s="10" customFormat="1" x14ac:dyDescent="0.3">
      <c r="I73" s="15"/>
    </row>
    <row r="74" spans="9:9" s="10" customFormat="1" x14ac:dyDescent="0.3">
      <c r="I74" s="15"/>
    </row>
    <row r="75" spans="9:9" s="10" customFormat="1" x14ac:dyDescent="0.3">
      <c r="I75" s="15"/>
    </row>
    <row r="76" spans="9:9" s="10" customFormat="1" x14ac:dyDescent="0.3">
      <c r="I76" s="15"/>
    </row>
    <row r="77" spans="9:9" s="10" customFormat="1" x14ac:dyDescent="0.3">
      <c r="I77" s="15"/>
    </row>
    <row r="78" spans="9:9" s="10" customFormat="1" x14ac:dyDescent="0.3">
      <c r="I78" s="15"/>
    </row>
    <row r="79" spans="9:9" s="10" customFormat="1" x14ac:dyDescent="0.3">
      <c r="I79" s="15"/>
    </row>
    <row r="80" spans="9:9" s="10" customFormat="1" x14ac:dyDescent="0.3">
      <c r="I80" s="15"/>
    </row>
    <row r="81" spans="9:9" s="10" customFormat="1" x14ac:dyDescent="0.3">
      <c r="I81" s="15"/>
    </row>
    <row r="82" spans="9:9" s="10" customFormat="1" x14ac:dyDescent="0.3">
      <c r="I82" s="15"/>
    </row>
    <row r="83" spans="9:9" s="10" customFormat="1" x14ac:dyDescent="0.3">
      <c r="I83" s="15"/>
    </row>
    <row r="84" spans="9:9" s="10" customFormat="1" x14ac:dyDescent="0.3">
      <c r="I84" s="15"/>
    </row>
    <row r="85" spans="9:9" s="10" customFormat="1" x14ac:dyDescent="0.3">
      <c r="I85" s="15"/>
    </row>
    <row r="86" spans="9:9" s="10" customFormat="1" x14ac:dyDescent="0.3">
      <c r="I86" s="15"/>
    </row>
    <row r="87" spans="9:9" s="10" customFormat="1" x14ac:dyDescent="0.3">
      <c r="I87" s="15"/>
    </row>
    <row r="88" spans="9:9" s="10" customFormat="1" x14ac:dyDescent="0.3">
      <c r="I88" s="15"/>
    </row>
    <row r="89" spans="9:9" s="10" customFormat="1" x14ac:dyDescent="0.3">
      <c r="I89" s="15"/>
    </row>
    <row r="90" spans="9:9" s="10" customFormat="1" x14ac:dyDescent="0.3">
      <c r="I90" s="15"/>
    </row>
    <row r="91" spans="9:9" s="10" customFormat="1" x14ac:dyDescent="0.3">
      <c r="I91" s="15"/>
    </row>
    <row r="92" spans="9:9" s="10" customFormat="1" x14ac:dyDescent="0.3">
      <c r="I92" s="15"/>
    </row>
    <row r="93" spans="9:9" s="10" customFormat="1" x14ac:dyDescent="0.3">
      <c r="I93" s="15"/>
    </row>
    <row r="94" spans="9:9" s="10" customFormat="1" x14ac:dyDescent="0.3">
      <c r="I94" s="15"/>
    </row>
    <row r="95" spans="9:9" s="10" customFormat="1" x14ac:dyDescent="0.3">
      <c r="I95" s="15"/>
    </row>
    <row r="96" spans="9:9" s="10" customFormat="1" x14ac:dyDescent="0.3">
      <c r="I96" s="15"/>
    </row>
    <row r="97" spans="9:9" s="10" customFormat="1" x14ac:dyDescent="0.3">
      <c r="I97" s="15"/>
    </row>
    <row r="98" spans="9:9" s="10" customFormat="1" x14ac:dyDescent="0.3">
      <c r="I98" s="15"/>
    </row>
    <row r="99" spans="9:9" s="10" customFormat="1" x14ac:dyDescent="0.3">
      <c r="I99" s="15"/>
    </row>
    <row r="100" spans="9:9" s="10" customFormat="1" x14ac:dyDescent="0.3">
      <c r="I100" s="15"/>
    </row>
    <row r="101" spans="9:9" s="10" customFormat="1" x14ac:dyDescent="0.3">
      <c r="I101" s="15"/>
    </row>
    <row r="102" spans="9:9" s="10" customFormat="1" x14ac:dyDescent="0.3">
      <c r="I102" s="15"/>
    </row>
    <row r="103" spans="9:9" s="10" customFormat="1" x14ac:dyDescent="0.3">
      <c r="I103" s="15"/>
    </row>
    <row r="104" spans="9:9" s="10" customFormat="1" x14ac:dyDescent="0.3">
      <c r="I104" s="15"/>
    </row>
    <row r="105" spans="9:9" s="10" customFormat="1" x14ac:dyDescent="0.3">
      <c r="I105" s="15"/>
    </row>
    <row r="106" spans="9:9" s="10" customFormat="1" x14ac:dyDescent="0.3">
      <c r="I106" s="15"/>
    </row>
    <row r="107" spans="9:9" s="10" customFormat="1" x14ac:dyDescent="0.3">
      <c r="I107" s="15"/>
    </row>
    <row r="108" spans="9:9" s="10" customFormat="1" x14ac:dyDescent="0.3">
      <c r="I108" s="15"/>
    </row>
    <row r="109" spans="9:9" s="10" customFormat="1" x14ac:dyDescent="0.3">
      <c r="I109" s="15"/>
    </row>
    <row r="110" spans="9:9" s="10" customFormat="1" x14ac:dyDescent="0.3">
      <c r="I110" s="15"/>
    </row>
    <row r="111" spans="9:9" s="10" customFormat="1" x14ac:dyDescent="0.3">
      <c r="I111" s="15"/>
    </row>
    <row r="112" spans="9:9" s="10" customFormat="1" x14ac:dyDescent="0.3">
      <c r="I112" s="15"/>
    </row>
    <row r="113" spans="9:9" s="10" customFormat="1" x14ac:dyDescent="0.3">
      <c r="I113" s="15"/>
    </row>
    <row r="114" spans="9:9" s="10" customFormat="1" x14ac:dyDescent="0.3">
      <c r="I114" s="15"/>
    </row>
    <row r="115" spans="9:9" s="10" customFormat="1" x14ac:dyDescent="0.3">
      <c r="I115" s="15"/>
    </row>
    <row r="116" spans="9:9" s="10" customFormat="1" x14ac:dyDescent="0.3">
      <c r="I116" s="15"/>
    </row>
    <row r="117" spans="9:9" s="10" customFormat="1" x14ac:dyDescent="0.3">
      <c r="I117" s="15"/>
    </row>
    <row r="118" spans="9:9" s="10" customFormat="1" x14ac:dyDescent="0.3">
      <c r="I118" s="15"/>
    </row>
    <row r="119" spans="9:9" s="10" customFormat="1" x14ac:dyDescent="0.3">
      <c r="I119" s="15"/>
    </row>
    <row r="120" spans="9:9" s="10" customFormat="1" x14ac:dyDescent="0.3">
      <c r="I120" s="15"/>
    </row>
    <row r="121" spans="9:9" s="10" customFormat="1" x14ac:dyDescent="0.3">
      <c r="I121" s="15"/>
    </row>
    <row r="122" spans="9:9" s="10" customFormat="1" x14ac:dyDescent="0.3">
      <c r="I122" s="15"/>
    </row>
    <row r="123" spans="9:9" s="10" customFormat="1" x14ac:dyDescent="0.3">
      <c r="I123" s="15"/>
    </row>
    <row r="124" spans="9:9" s="10" customFormat="1" x14ac:dyDescent="0.3">
      <c r="I124" s="15"/>
    </row>
    <row r="125" spans="9:9" s="10" customFormat="1" x14ac:dyDescent="0.3">
      <c r="I125" s="15"/>
    </row>
    <row r="126" spans="9:9" s="10" customFormat="1" x14ac:dyDescent="0.3">
      <c r="I126" s="15"/>
    </row>
    <row r="127" spans="9:9" s="10" customFormat="1" x14ac:dyDescent="0.3">
      <c r="I127" s="15"/>
    </row>
    <row r="128" spans="9:9" s="10" customFormat="1" x14ac:dyDescent="0.3">
      <c r="I128" s="15"/>
    </row>
    <row r="129" spans="9:9" s="10" customFormat="1" x14ac:dyDescent="0.3">
      <c r="I129" s="15"/>
    </row>
    <row r="130" spans="9:9" s="10" customFormat="1" x14ac:dyDescent="0.3">
      <c r="I130" s="15"/>
    </row>
    <row r="131" spans="9:9" s="10" customFormat="1" x14ac:dyDescent="0.3">
      <c r="I131" s="15"/>
    </row>
    <row r="132" spans="9:9" s="10" customFormat="1" x14ac:dyDescent="0.3">
      <c r="I132" s="15"/>
    </row>
    <row r="133" spans="9:9" s="10" customFormat="1" x14ac:dyDescent="0.3">
      <c r="I133" s="15"/>
    </row>
    <row r="134" spans="9:9" s="10" customFormat="1" x14ac:dyDescent="0.3">
      <c r="I134" s="15"/>
    </row>
    <row r="135" spans="9:9" s="10" customFormat="1" x14ac:dyDescent="0.3">
      <c r="I135" s="15"/>
    </row>
    <row r="136" spans="9:9" s="10" customFormat="1" x14ac:dyDescent="0.3">
      <c r="I136" s="15"/>
    </row>
    <row r="137" spans="9:9" s="10" customFormat="1" x14ac:dyDescent="0.3">
      <c r="I137" s="15"/>
    </row>
    <row r="138" spans="9:9" s="10" customFormat="1" x14ac:dyDescent="0.3">
      <c r="I138" s="15"/>
    </row>
    <row r="139" spans="9:9" s="10" customFormat="1" x14ac:dyDescent="0.3">
      <c r="I139" s="15"/>
    </row>
    <row r="140" spans="9:9" s="10" customFormat="1" x14ac:dyDescent="0.3">
      <c r="I140" s="15"/>
    </row>
    <row r="141" spans="9:9" s="10" customFormat="1" x14ac:dyDescent="0.3">
      <c r="I141" s="15"/>
    </row>
    <row r="142" spans="9:9" s="10" customFormat="1" x14ac:dyDescent="0.3">
      <c r="I142" s="15"/>
    </row>
    <row r="143" spans="9:9" s="10" customFormat="1" x14ac:dyDescent="0.3">
      <c r="I143" s="15"/>
    </row>
    <row r="144" spans="9:9" s="10" customFormat="1" x14ac:dyDescent="0.3">
      <c r="I144" s="15"/>
    </row>
    <row r="145" spans="9:9" s="10" customFormat="1" x14ac:dyDescent="0.3">
      <c r="I145" s="15"/>
    </row>
    <row r="146" spans="9:9" s="10" customFormat="1" x14ac:dyDescent="0.3">
      <c r="I146" s="15"/>
    </row>
    <row r="147" spans="9:9" s="10" customFormat="1" x14ac:dyDescent="0.3">
      <c r="I147" s="15"/>
    </row>
    <row r="148" spans="9:9" s="10" customFormat="1" x14ac:dyDescent="0.3">
      <c r="I148" s="15"/>
    </row>
    <row r="149" spans="9:9" s="10" customFormat="1" x14ac:dyDescent="0.3">
      <c r="I149" s="15"/>
    </row>
    <row r="150" spans="9:9" s="10" customFormat="1" x14ac:dyDescent="0.3">
      <c r="I150" s="15"/>
    </row>
    <row r="151" spans="9:9" s="10" customFormat="1" x14ac:dyDescent="0.3">
      <c r="I151" s="15"/>
    </row>
    <row r="152" spans="9:9" s="10" customFormat="1" x14ac:dyDescent="0.3">
      <c r="I152" s="15"/>
    </row>
    <row r="153" spans="9:9" s="10" customFormat="1" x14ac:dyDescent="0.3">
      <c r="I153" s="15"/>
    </row>
    <row r="154" spans="9:9" s="10" customFormat="1" x14ac:dyDescent="0.3">
      <c r="I154" s="15"/>
    </row>
    <row r="155" spans="9:9" s="10" customFormat="1" x14ac:dyDescent="0.3">
      <c r="I155" s="15"/>
    </row>
    <row r="156" spans="9:9" s="10" customFormat="1" x14ac:dyDescent="0.3">
      <c r="I156" s="15"/>
    </row>
    <row r="157" spans="9:9" s="10" customFormat="1" x14ac:dyDescent="0.3">
      <c r="I157" s="15"/>
    </row>
    <row r="158" spans="9:9" s="10" customFormat="1" x14ac:dyDescent="0.3">
      <c r="I158" s="15"/>
    </row>
    <row r="159" spans="9:9" s="10" customFormat="1" x14ac:dyDescent="0.3">
      <c r="I159" s="15"/>
    </row>
    <row r="160" spans="9:9" s="10" customFormat="1" x14ac:dyDescent="0.3">
      <c r="I160" s="15"/>
    </row>
    <row r="161" spans="9:9" s="10" customFormat="1" x14ac:dyDescent="0.3">
      <c r="I161" s="15"/>
    </row>
    <row r="162" spans="9:9" s="10" customFormat="1" x14ac:dyDescent="0.3">
      <c r="I162" s="15"/>
    </row>
    <row r="163" spans="9:9" s="10" customFormat="1" x14ac:dyDescent="0.3">
      <c r="I163" s="15"/>
    </row>
    <row r="164" spans="9:9" s="10" customFormat="1" x14ac:dyDescent="0.3">
      <c r="I164" s="15"/>
    </row>
    <row r="165" spans="9:9" s="10" customFormat="1" x14ac:dyDescent="0.3">
      <c r="I165" s="15"/>
    </row>
    <row r="166" spans="9:9" s="10" customFormat="1" x14ac:dyDescent="0.3">
      <c r="I166" s="15"/>
    </row>
    <row r="167" spans="9:9" s="10" customFormat="1" x14ac:dyDescent="0.3">
      <c r="I167" s="15"/>
    </row>
    <row r="168" spans="9:9" s="10" customFormat="1" x14ac:dyDescent="0.3">
      <c r="I168" s="15"/>
    </row>
    <row r="169" spans="9:9" s="10" customFormat="1" x14ac:dyDescent="0.3">
      <c r="I169" s="15"/>
    </row>
    <row r="170" spans="9:9" s="10" customFormat="1" x14ac:dyDescent="0.3">
      <c r="I170" s="15"/>
    </row>
    <row r="171" spans="9:9" s="10" customFormat="1" x14ac:dyDescent="0.3">
      <c r="I171" s="15"/>
    </row>
    <row r="172" spans="9:9" s="10" customFormat="1" x14ac:dyDescent="0.3">
      <c r="I172" s="15"/>
    </row>
    <row r="173" spans="9:9" s="10" customFormat="1" x14ac:dyDescent="0.3">
      <c r="I173" s="15"/>
    </row>
    <row r="174" spans="9:9" s="10" customFormat="1" x14ac:dyDescent="0.3">
      <c r="I174" s="15"/>
    </row>
    <row r="175" spans="9:9" s="10" customFormat="1" x14ac:dyDescent="0.3">
      <c r="I175" s="15"/>
    </row>
    <row r="176" spans="9:9" s="10" customFormat="1" x14ac:dyDescent="0.3">
      <c r="I176" s="15"/>
    </row>
    <row r="177" spans="9:9" s="10" customFormat="1" x14ac:dyDescent="0.3">
      <c r="I177" s="15"/>
    </row>
    <row r="178" spans="9:9" s="10" customFormat="1" x14ac:dyDescent="0.3">
      <c r="I178" s="15"/>
    </row>
    <row r="179" spans="9:9" s="10" customFormat="1" x14ac:dyDescent="0.3">
      <c r="I179" s="15"/>
    </row>
    <row r="180" spans="9:9" s="10" customFormat="1" x14ac:dyDescent="0.3">
      <c r="I180" s="15"/>
    </row>
    <row r="181" spans="9:9" s="10" customFormat="1" x14ac:dyDescent="0.3">
      <c r="I181" s="15"/>
    </row>
    <row r="182" spans="9:9" s="10" customFormat="1" x14ac:dyDescent="0.3">
      <c r="I182" s="15"/>
    </row>
    <row r="183" spans="9:9" s="10" customFormat="1" x14ac:dyDescent="0.3">
      <c r="I183" s="15"/>
    </row>
    <row r="184" spans="9:9" s="10" customFormat="1" x14ac:dyDescent="0.3">
      <c r="I184" s="15"/>
    </row>
    <row r="185" spans="9:9" s="10" customFormat="1" x14ac:dyDescent="0.3">
      <c r="I185" s="15"/>
    </row>
    <row r="186" spans="9:9" s="10" customFormat="1" x14ac:dyDescent="0.3">
      <c r="I186" s="15"/>
    </row>
    <row r="187" spans="9:9" s="10" customFormat="1" x14ac:dyDescent="0.3">
      <c r="I187" s="15"/>
    </row>
    <row r="188" spans="9:9" s="10" customFormat="1" x14ac:dyDescent="0.3">
      <c r="I188" s="15"/>
    </row>
    <row r="189" spans="9:9" s="10" customFormat="1" x14ac:dyDescent="0.3">
      <c r="I189" s="15"/>
    </row>
    <row r="190" spans="9:9" s="10" customFormat="1" x14ac:dyDescent="0.3">
      <c r="I190" s="15"/>
    </row>
    <row r="191" spans="9:9" s="10" customFormat="1" x14ac:dyDescent="0.3">
      <c r="I191" s="15"/>
    </row>
    <row r="192" spans="9:9" s="10" customFormat="1" x14ac:dyDescent="0.3">
      <c r="I192" s="15"/>
    </row>
    <row r="193" spans="9:9" s="10" customFormat="1" x14ac:dyDescent="0.3">
      <c r="I193" s="15"/>
    </row>
    <row r="194" spans="9:9" s="10" customFormat="1" x14ac:dyDescent="0.3">
      <c r="I194" s="15"/>
    </row>
    <row r="195" spans="9:9" s="10" customFormat="1" x14ac:dyDescent="0.3">
      <c r="I195" s="15"/>
    </row>
    <row r="196" spans="9:9" s="10" customFormat="1" x14ac:dyDescent="0.3">
      <c r="I196" s="15"/>
    </row>
    <row r="197" spans="9:9" s="10" customFormat="1" x14ac:dyDescent="0.3">
      <c r="I197" s="15"/>
    </row>
    <row r="198" spans="9:9" s="10" customFormat="1" x14ac:dyDescent="0.3">
      <c r="I198" s="15"/>
    </row>
    <row r="199" spans="9:9" s="10" customFormat="1" x14ac:dyDescent="0.3">
      <c r="I199" s="15"/>
    </row>
    <row r="200" spans="9:9" s="10" customFormat="1" x14ac:dyDescent="0.3">
      <c r="I200" s="15"/>
    </row>
    <row r="201" spans="9:9" s="10" customFormat="1" x14ac:dyDescent="0.3">
      <c r="I201" s="15"/>
    </row>
    <row r="202" spans="9:9" s="10" customFormat="1" x14ac:dyDescent="0.3">
      <c r="I202" s="15"/>
    </row>
    <row r="203" spans="9:9" s="10" customFormat="1" x14ac:dyDescent="0.3">
      <c r="I203" s="15"/>
    </row>
    <row r="204" spans="9:9" s="10" customFormat="1" x14ac:dyDescent="0.3">
      <c r="I204" s="15"/>
    </row>
    <row r="205" spans="9:9" s="10" customFormat="1" x14ac:dyDescent="0.3">
      <c r="I205" s="15"/>
    </row>
    <row r="206" spans="9:9" s="10" customFormat="1" x14ac:dyDescent="0.3">
      <c r="I206" s="15"/>
    </row>
    <row r="207" spans="9:9" s="10" customFormat="1" x14ac:dyDescent="0.3">
      <c r="I207" s="15"/>
    </row>
    <row r="208" spans="9:9" s="10" customFormat="1" x14ac:dyDescent="0.3">
      <c r="I208" s="15"/>
    </row>
    <row r="209" spans="9:9" s="10" customFormat="1" x14ac:dyDescent="0.3">
      <c r="I209" s="15"/>
    </row>
    <row r="210" spans="9:9" s="10" customFormat="1" x14ac:dyDescent="0.3">
      <c r="I210" s="15"/>
    </row>
    <row r="211" spans="9:9" s="10" customFormat="1" x14ac:dyDescent="0.3">
      <c r="I211" s="15"/>
    </row>
    <row r="212" spans="9:9" s="10" customFormat="1" x14ac:dyDescent="0.3">
      <c r="I212" s="15"/>
    </row>
    <row r="213" spans="9:9" s="10" customFormat="1" x14ac:dyDescent="0.3">
      <c r="I213" s="15"/>
    </row>
    <row r="214" spans="9:9" s="10" customFormat="1" x14ac:dyDescent="0.3">
      <c r="I214" s="15"/>
    </row>
    <row r="215" spans="9:9" s="10" customFormat="1" x14ac:dyDescent="0.3">
      <c r="I215" s="15"/>
    </row>
    <row r="216" spans="9:9" s="10" customFormat="1" x14ac:dyDescent="0.3">
      <c r="I216" s="15"/>
    </row>
    <row r="217" spans="9:9" s="10" customFormat="1" x14ac:dyDescent="0.3">
      <c r="I217" s="15"/>
    </row>
    <row r="218" spans="9:9" s="10" customFormat="1" x14ac:dyDescent="0.3">
      <c r="I218" s="15"/>
    </row>
  </sheetData>
  <sheetProtection algorithmName="SHA-512" hashValue="uoa0ppqwmt3Hc0GAW1HRdMb0zWtmysr3EH5o43UeeYKWsAGfTAIzOE1rUUTTCePtEL5BUyuedthGhVDJJVPd3Q==" saltValue="+5JEPOpNYlMF6FwO05FugA==" spinCount="100000" sheet="1" formatColumns="0" formatRows="0" insertRows="0"/>
  <mergeCells count="36">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A31:A33"/>
    <mergeCell ref="B31:B33"/>
    <mergeCell ref="C33:G33"/>
    <mergeCell ref="C31:G31"/>
    <mergeCell ref="C32:G32"/>
  </mergeCells>
  <phoneticPr fontId="3" type="noConversion"/>
  <conditionalFormatting sqref="H6:H7">
    <cfRule type="expression" dxfId="137" priority="7">
      <formula>$H$5=TRUE</formula>
    </cfRule>
  </conditionalFormatting>
  <conditionalFormatting sqref="H12:H16">
    <cfRule type="expression" dxfId="136" priority="6">
      <formula>$H$10=TRUE</formula>
    </cfRule>
  </conditionalFormatting>
  <conditionalFormatting sqref="H18">
    <cfRule type="expression" dxfId="135" priority="5">
      <formula>$H$10=TRUE</formula>
    </cfRule>
  </conditionalFormatting>
  <conditionalFormatting sqref="H31:H32">
    <cfRule type="expression" dxfId="134" priority="4">
      <formula>$H$30=TRUE</formula>
    </cfRule>
  </conditionalFormatting>
  <conditionalFormatting sqref="I6:I7">
    <cfRule type="expression" dxfId="133" priority="3">
      <formula>$I6=template_label_missing_value</formula>
    </cfRule>
    <cfRule type="expression" dxfId="132" priority="25">
      <formula>$I6=template_label_ok</formula>
    </cfRule>
  </conditionalFormatting>
  <conditionalFormatting sqref="I12:I18">
    <cfRule type="expression" dxfId="131" priority="1">
      <formula>$I$12=template_label_missing_value</formula>
    </cfRule>
    <cfRule type="expression" dxfId="130" priority="11">
      <formula>$I$12=template_label_value_inconsistency</formula>
    </cfRule>
    <cfRule type="expression" dxfId="129" priority="12">
      <formula>$I$12=template_label_ok</formula>
    </cfRule>
  </conditionalFormatting>
  <conditionalFormatting sqref="I22">
    <cfRule type="expression" dxfId="128" priority="8">
      <formula>$I$22=template_label_ok</formula>
    </cfRule>
    <cfRule type="expression" dxfId="127" priority="9">
      <formula>$I$22=template_label_missing_value</formula>
    </cfRule>
  </conditionalFormatting>
  <conditionalFormatting sqref="I27">
    <cfRule type="expression" dxfId="126" priority="18">
      <formula>$I$27="OK"</formula>
    </cfRule>
  </conditionalFormatting>
  <conditionalFormatting sqref="I30:I32">
    <cfRule type="expression" dxfId="125" priority="17">
      <formula>$I30=template_label_ok</formula>
    </cfRule>
  </conditionalFormatting>
  <conditionalFormatting sqref="I31:I32">
    <cfRule type="expression" dxfId="124" priority="2">
      <formula>$I31=template_label_missing_value</formula>
    </cfRule>
  </conditionalFormatting>
  <conditionalFormatting sqref="I38">
    <cfRule type="expression" dxfId="123"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B31" r:id="rId1" location="id-430" display="242-244" xr:uid="{DD9DFEB0-008E-4085-9C4C-4E4071AF9EDD}"/>
    <hyperlink ref="C4" r:id="rId2" location="id-390" display="206-209" xr:uid="{9E36270B-F82E-4DBC-85F6-FFB6017A5FC6}"/>
    <hyperlink ref="C3" r:id="rId3" location="id-101" display="https://xbrl.efrag.org/e-esrs/2024-12-17-efrag-vsme.xhtml - id-101" xr:uid="{E98F2C39-CB33-456F-AE8F-63B2283FA058}"/>
    <hyperlink ref="A12" r:id="rId4" xr:uid="{0657DA08-490E-4BA8-8E5A-A36584CC3868}"/>
    <hyperlink ref="A13" r:id="rId5" xr:uid="{34F4B8AF-2DEE-4167-9575-E492545D940D}"/>
    <hyperlink ref="A14" r:id="rId6" xr:uid="{541F1F99-604B-4056-85A4-099A07C87266}"/>
    <hyperlink ref="A18" r:id="rId7" xr:uid="{4AC2196A-CAEA-4FA3-9EE0-453860A4DD24}"/>
    <hyperlink ref="A31" r:id="rId8" location="id-157" display="https://xbrl.efrag.org/e-esrs/2024-12-17-efrag-vsme.xhtml - id-157" xr:uid="{AB8591A9-7AF3-4FBD-9554-A2D0FD1D20C3}"/>
    <hyperlink ref="B27" r:id="rId9" display="https://xbrl.efrag.org/eng/interactive/vsme/vsme-guidance-annex-ii/2025-07-30-ec-rec/177/d" xr:uid="{B64DA43C-EDC4-4406-A04F-550966F14887}"/>
    <hyperlink ref="B22" r:id="rId10" xr:uid="{E5160077-4F36-4BD8-86FA-2A762B90A522}"/>
    <hyperlink ref="B23" r:id="rId11" xr:uid="{0E47DDD5-A5AE-41A4-AD9E-E64EED2C77D7}"/>
    <hyperlink ref="B24" r:id="rId12" xr:uid="{B18FB860-026E-41ED-B82E-7CB596B0F07E}"/>
    <hyperlink ref="B25" r:id="rId13" xr:uid="{A3D72F7C-F915-4130-AEEB-2CB05E19F60B}"/>
    <hyperlink ref="C37" r:id="rId14" location="id-30" display="https://xbrl.efrag.org/e-esrs/2024-12-17-efrag-vsme.xhtml - id-30" xr:uid="{99043B26-ADF0-4E30-AC4D-749B87744438}"/>
    <hyperlink ref="B12" r:id="rId15" xr:uid="{C547DB8C-D923-4FC7-B0DA-200463B84266}"/>
    <hyperlink ref="C3:H3" r:id="rId16" display="https://xbrl.efrag.org/eng/interactive/vsme/vsme-standard-annex-i/2025-07-30-ec-rec/43" xr:uid="{8E69E904-2158-45DA-8E87-545567ADAFB8}"/>
    <hyperlink ref="A22" r:id="rId17" display="https://xbrl.efrag.org/eng/interactive/vsme/vsme-standard-annex-i/2025-07-30-ec-rec/64" xr:uid="{5CC0C52C-701F-4C24-AACA-7DB3E2B7C53F}"/>
    <hyperlink ref="A27" r:id="rId18" display="https://knowledgehub.efrag.org/eng/interactive/vsme/vsme-standard-annex-i/08-2025/64" xr:uid="{724278DE-6E8B-4360-AAB9-2ED66C951948}"/>
    <hyperlink ref="A31:A33" r:id="rId19" display="https://xbrl.efrag.org/eng/interactive/vsme/vsme-standard-annex-i/2025-07-30-ec-rec/65" xr:uid="{9070A05F-DC67-4659-81DD-132C9C2BA611}"/>
    <hyperlink ref="C37:H37" r:id="rId20" display="https://xbrl.efrag.org/eng/interactive/vsme/vsme-standard-annex-i/2025-07-30-ec-rec/10" xr:uid="{BD96F830-5D6E-4EF6-9EAF-E4DAA73B73F5}"/>
    <hyperlink ref="C4:H4" r:id="rId21" display="141-144" xr:uid="{6FFA3630-37AF-4071-B63B-404038FAC63F}"/>
    <hyperlink ref="B31:B33" r:id="rId22" display="178-180" xr:uid="{89CF752E-5362-4309-9A24-AD8C8789890E}"/>
    <hyperlink ref="A15" r:id="rId23" xr:uid="{073C81B9-1885-48FA-9E75-28880E61B0A9}"/>
    <hyperlink ref="A16" r:id="rId24" xr:uid="{1B936E07-80D2-47D5-9091-AB194A562D4D}"/>
    <hyperlink ref="A17" r:id="rId25" xr:uid="{B69C0BC5-A56C-4B02-9921-C53A808E764B}"/>
    <hyperlink ref="A23" r:id="rId26" display="https://xbrl.efrag.org/eng/interactive/vsme/vsme-standard-annex-i/2025-07-30-ec-rec/64" xr:uid="{C4AC7567-B964-4726-8BFF-AEA5BB03CAB3}"/>
    <hyperlink ref="A24" r:id="rId27" display="https://xbrl.efrag.org/eng/interactive/vsme/vsme-standard-annex-i/2025-07-30-ec-rec/64" xr:uid="{FFEBF35D-5B17-42E8-A73D-1F26F1CED663}"/>
    <hyperlink ref="A25" r:id="rId28" display="https://xbrl.efrag.org/eng/interactive/vsme/vsme-standard-annex-i/2025-07-30-ec-rec/64" xr:uid="{67C796DF-1FD2-47BD-B258-0FD093CD5FBF}"/>
    <hyperlink ref="B18" r:id="rId29" xr:uid="{D4451976-2969-48FF-9E0B-D9A0A9835D74}"/>
    <hyperlink ref="B13" r:id="rId30" xr:uid="{48F51859-290F-45BF-A7FE-422787BE7549}"/>
    <hyperlink ref="B14" r:id="rId31" xr:uid="{12167B16-5419-427A-893E-04779325209E}"/>
    <hyperlink ref="B15" r:id="rId32" xr:uid="{CE1F8DFF-BEB6-4D39-8747-A4B16A9BB309}"/>
    <hyperlink ref="B16" r:id="rId33" xr:uid="{0F02BE95-5B98-48E2-82DA-BBFCFCDE6839}"/>
    <hyperlink ref="B17" r:id="rId34" xr:uid="{C1E3A1CF-806D-43F5-A9B9-54080D190D44}"/>
  </hyperlinks>
  <pageMargins left="0.7" right="0.7" top="0.75" bottom="0.75" header="0.3" footer="0.3"/>
  <drawing r:id="rId35"/>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Information'!$E$327</xm:f>
          </x14:formula1>
          <xm:sqref>H17</xm:sqref>
        </x14:dataValidation>
        <x14:dataValidation type="custom" showInputMessage="1" showErrorMessage="1" xr:uid="{F6328591-2F0B-4688-A58B-FE2019B26C27}">
          <x14:formula1>
            <xm:f>($H$12+$H$13+$H$14+$H$15+$H$16+$H$18)&lt;='General Information'!$E$327</xm:f>
          </x14:formula1>
          <xm:sqref>H18 H12:H16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dimension ref="A1:BA140"/>
  <sheetViews>
    <sheetView zoomScaleNormal="100" workbookViewId="0"/>
  </sheetViews>
  <sheetFormatPr defaultColWidth="9.33203125" defaultRowHeight="14.4" x14ac:dyDescent="0.3"/>
  <cols>
    <col min="1" max="1" width="28.5546875" bestFit="1" customWidth="1"/>
    <col min="2" max="2" width="32.44140625" customWidth="1"/>
    <col min="3" max="3" width="19.6640625" style="10" bestFit="1" customWidth="1"/>
    <col min="4" max="4" width="17.6640625" style="10" bestFit="1" customWidth="1"/>
    <col min="5" max="5" width="21.33203125" style="10" bestFit="1" customWidth="1"/>
    <col min="6" max="6" width="24.109375" style="10" bestFit="1" customWidth="1"/>
    <col min="7" max="7" width="59.44140625" style="10" customWidth="1"/>
    <col min="8" max="8" width="10.6640625" style="10" customWidth="1"/>
    <col min="9" max="9" width="20.5546875" style="10" customWidth="1"/>
    <col min="10" max="10" width="23.5546875" style="10" customWidth="1"/>
    <col min="11" max="11" width="14.6640625" style="10" customWidth="1"/>
    <col min="12" max="12" width="24.5546875" style="10" customWidth="1"/>
    <col min="13" max="13" width="25" style="10" customWidth="1"/>
    <col min="14" max="14" width="67.5546875" style="10" hidden="1" customWidth="1"/>
    <col min="15" max="15" width="24.33203125" style="10" hidden="1" customWidth="1"/>
    <col min="16" max="16" width="24.5546875" style="10" hidden="1" customWidth="1"/>
    <col min="17" max="17" width="25" style="10" hidden="1" customWidth="1"/>
    <col min="18" max="18" width="62.33203125" style="10" hidden="1" customWidth="1"/>
    <col min="19" max="19" width="22.6640625" style="10" hidden="1" customWidth="1"/>
    <col min="20" max="20" width="24.5546875" style="10" hidden="1" customWidth="1"/>
    <col min="21" max="21" width="25" style="10" hidden="1" customWidth="1"/>
    <col min="22" max="22" width="34.5546875" style="10" hidden="1" customWidth="1"/>
    <col min="23" max="23" width="23.5546875" style="10" hidden="1" customWidth="1"/>
    <col min="24" max="24" width="24.5546875" style="10" hidden="1" customWidth="1"/>
    <col min="25" max="25" width="25" style="10" hidden="1" customWidth="1"/>
    <col min="26" max="26" width="33.5546875" style="10" hidden="1" customWidth="1"/>
    <col min="27" max="27" width="30.5546875" style="10" hidden="1" customWidth="1"/>
    <col min="28" max="28" width="41.33203125" style="10" hidden="1" customWidth="1"/>
    <col min="29" max="29" width="25" style="10" hidden="1" customWidth="1"/>
    <col min="30" max="30" width="46.44140625" style="10" hidden="1" customWidth="1"/>
    <col min="31" max="31" width="27" style="10" hidden="1" customWidth="1"/>
    <col min="32" max="32" width="33.88671875" style="10" hidden="1" customWidth="1"/>
    <col min="33" max="33" width="25" style="10" hidden="1" customWidth="1"/>
    <col min="34" max="34" width="42" style="10" hidden="1" customWidth="1"/>
    <col min="35" max="35" width="29.6640625" style="10" hidden="1" customWidth="1"/>
    <col min="36" max="36" width="31.33203125" style="10" hidden="1" customWidth="1"/>
    <col min="37" max="37" width="25" style="10" hidden="1" customWidth="1"/>
    <col min="38" max="38" width="39.6640625" hidden="1" customWidth="1"/>
    <col min="39" max="39" width="26" style="10" hidden="1" customWidth="1"/>
    <col min="40" max="40" width="24.5546875" hidden="1" customWidth="1"/>
    <col min="41" max="41" width="25" hidden="1" customWidth="1"/>
    <col min="42" max="42" width="42.44140625" hidden="1" customWidth="1"/>
    <col min="43" max="43" width="29.88671875" style="10" hidden="1" customWidth="1"/>
    <col min="44" max="44" width="38.6640625" style="10" hidden="1" customWidth="1"/>
    <col min="45" max="45" width="25" style="10" hidden="1" customWidth="1"/>
    <col min="46" max="46" width="45.6640625" style="10" hidden="1" customWidth="1"/>
    <col min="47" max="47" width="32.5546875" style="10" hidden="1" customWidth="1"/>
    <col min="48" max="48" width="38.44140625" style="10" hidden="1" customWidth="1"/>
    <col min="49" max="49" width="24.6640625" style="10" hidden="1" customWidth="1"/>
    <col min="50" max="50" width="50.109375" style="10" hidden="1" customWidth="1"/>
    <col min="51" max="51" width="28.109375" style="10" hidden="1" customWidth="1"/>
    <col min="52" max="52" width="34.6640625" style="10" hidden="1" customWidth="1"/>
    <col min="53" max="53" width="21.44140625" style="10" hidden="1" customWidth="1"/>
    <col min="54" max="54" width="0" style="10" hidden="1" customWidth="1"/>
    <col min="55" max="16384" width="9.33203125" style="10"/>
  </cols>
  <sheetData>
    <row r="1" spans="1:53" ht="28.5" customHeight="1" thickTop="1" thickBot="1" x14ac:dyDescent="0.45">
      <c r="A1" s="395" t="str">
        <f>template_label_fuel_converter</f>
        <v>FUEL CONVERTER</v>
      </c>
      <c r="B1" s="10"/>
      <c r="AL1" s="10"/>
      <c r="AN1" s="10"/>
      <c r="AO1" s="10"/>
      <c r="AP1" s="10"/>
    </row>
    <row r="2" spans="1:53" ht="39.450000000000003" customHeight="1" thickTop="1" x14ac:dyDescent="0.4">
      <c r="A2" s="439" t="str">
        <f>template_label_disclaimer</f>
        <v>DISCLAIMER:</v>
      </c>
      <c r="B2" s="10"/>
      <c r="AL2" s="10"/>
      <c r="AN2" s="10"/>
      <c r="AO2" s="10"/>
      <c r="AP2" s="10"/>
    </row>
    <row r="3" spans="1:53" ht="54" customHeight="1" x14ac:dyDescent="0.4">
      <c r="A3" s="1158"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158"/>
      <c r="C3" s="1158"/>
      <c r="D3" s="1158"/>
      <c r="E3" s="1158"/>
      <c r="F3" s="1158"/>
      <c r="G3" s="1158"/>
      <c r="H3" s="1158"/>
      <c r="I3" s="1158"/>
      <c r="J3" s="1158"/>
      <c r="K3" s="1158"/>
      <c r="AL3" s="10"/>
      <c r="AN3" s="10"/>
      <c r="AO3" s="10"/>
      <c r="AP3" s="10"/>
    </row>
    <row r="4" spans="1:53" ht="44.55" customHeight="1" x14ac:dyDescent="0.4">
      <c r="A4" s="1158"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158"/>
      <c r="C4" s="1158"/>
      <c r="D4" s="1158"/>
      <c r="E4" s="1158"/>
      <c r="F4" s="1158"/>
      <c r="G4" s="1158"/>
      <c r="H4" s="1158"/>
      <c r="I4" s="1158"/>
      <c r="J4" s="1158"/>
      <c r="K4" s="1158"/>
      <c r="AL4" s="10"/>
      <c r="AN4" s="10"/>
      <c r="AO4" s="10"/>
      <c r="AP4" s="10"/>
    </row>
    <row r="5" spans="1:53" ht="48.45" customHeight="1" thickBot="1" x14ac:dyDescent="0.45">
      <c r="A5" s="1158"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158"/>
      <c r="C5" s="1158"/>
      <c r="D5" s="1158"/>
      <c r="E5" s="1158"/>
      <c r="F5" s="1158"/>
      <c r="G5" s="1158"/>
      <c r="H5" s="1158"/>
      <c r="I5" s="1158"/>
      <c r="J5" s="1158"/>
      <c r="K5" s="1158"/>
      <c r="AL5" s="10"/>
      <c r="AN5" s="10"/>
      <c r="AO5" s="10"/>
      <c r="AP5" s="10"/>
    </row>
    <row r="6" spans="1:53" ht="35.4" customHeight="1" thickBot="1" x14ac:dyDescent="0.35">
      <c r="A6" s="398"/>
      <c r="B6" s="1177" t="str">
        <f>template_label_indicates_that_the_cell_should_be_filled_either_by_selecting_a_value_from_the_dropdown</f>
        <v>Indicates that the cell should be filled either by selecting a value from the dropdown (e.g. Type of fuel or Unit of Measurement) or by entering an amount.</v>
      </c>
      <c r="C6" s="1178"/>
      <c r="D6" s="1178"/>
      <c r="E6" s="1178"/>
      <c r="F6" s="1179"/>
      <c r="G6" s="399"/>
      <c r="H6" s="397"/>
      <c r="I6" s="397"/>
      <c r="J6" s="397"/>
      <c r="AL6" s="10"/>
      <c r="AN6" s="10"/>
      <c r="AO6" s="10"/>
      <c r="AP6" s="10"/>
    </row>
    <row r="7" spans="1:53" ht="44.4" customHeight="1" thickBot="1" x14ac:dyDescent="0.35">
      <c r="A7" s="400" t="s">
        <v>3539</v>
      </c>
      <c r="B7" s="1177" t="str">
        <f>template_label_indicates_that_the_cell_is_automatically_calculated_and_that_no_data_entry_is_required</f>
        <v>Indicates that the cell is automatically calculated and that no data entry is required.</v>
      </c>
      <c r="C7" s="1178"/>
      <c r="D7" s="1178"/>
      <c r="E7" s="1178"/>
      <c r="F7" s="1179"/>
      <c r="G7" s="399"/>
      <c r="H7" s="397"/>
      <c r="I7" s="397"/>
      <c r="J7" s="397"/>
      <c r="AL7" s="10"/>
      <c r="AN7" s="10"/>
      <c r="AO7" s="10"/>
      <c r="AP7" s="10"/>
    </row>
    <row r="8" spans="1:53" ht="40.200000000000003" customHeight="1" thickBot="1" x14ac:dyDescent="0.35">
      <c r="A8" s="396"/>
      <c r="B8" s="10"/>
      <c r="AC8" s="401"/>
      <c r="AL8" s="10"/>
      <c r="AN8" s="10"/>
      <c r="AO8" s="10"/>
      <c r="AP8" s="10"/>
    </row>
    <row r="9" spans="1:53" ht="15" thickBot="1" x14ac:dyDescent="0.35">
      <c r="A9" s="402" t="str">
        <f>template_label_fuel_type</f>
        <v>Fuel type</v>
      </c>
      <c r="B9" s="402" t="str">
        <f>template_label_unit_of_measurement</f>
        <v>Unit of measurement</v>
      </c>
      <c r="C9" s="403" t="str">
        <f>template_label_amount</f>
        <v>Amount</v>
      </c>
      <c r="D9" s="403" t="str">
        <f>template_label_state_of_matter</f>
        <v>State of matter</v>
      </c>
      <c r="E9" s="404" t="str">
        <f>template_label_typical_renewable_state</f>
        <v>Typical renewable state</v>
      </c>
      <c r="F9" s="404" t="str">
        <f>template_label_calculated_energy_in_mwh</f>
        <v>Calculated Energy in MWh</v>
      </c>
      <c r="I9" s="396" t="str">
        <f>template_label_usage_of_fuel_converter</f>
        <v>Usage of Fuel Converter:</v>
      </c>
      <c r="O9" s="484"/>
      <c r="P9" s="485"/>
      <c r="Q9" s="486"/>
      <c r="S9" s="484"/>
      <c r="T9" s="485"/>
      <c r="U9" s="486"/>
      <c r="W9" s="484"/>
      <c r="X9" s="485"/>
      <c r="Y9" s="486"/>
      <c r="AA9" s="484"/>
      <c r="AB9" s="485"/>
      <c r="AC9" s="486"/>
      <c r="AE9" s="484"/>
      <c r="AF9" s="485"/>
      <c r="AG9" s="486"/>
      <c r="AI9" s="484"/>
      <c r="AJ9" s="485"/>
      <c r="AK9" s="486"/>
      <c r="AL9" s="10"/>
      <c r="AM9" s="484"/>
      <c r="AN9" s="485"/>
      <c r="AO9" s="486"/>
      <c r="AP9" s="10"/>
      <c r="AQ9" s="484"/>
      <c r="AR9" s="485"/>
      <c r="AS9" s="486"/>
      <c r="AU9" s="484"/>
      <c r="AV9" s="485"/>
      <c r="AW9" s="486"/>
      <c r="AY9" s="484"/>
      <c r="AZ9" s="485"/>
      <c r="BA9" s="486"/>
    </row>
    <row r="10" spans="1:53" ht="15" thickBot="1" x14ac:dyDescent="0.35">
      <c r="A10" s="393"/>
      <c r="B10" s="393"/>
      <c r="C10" s="394"/>
      <c r="D10" s="405" t="str">
        <f>P11</f>
        <v>-</v>
      </c>
      <c r="E10" s="406" t="str">
        <f>P12</f>
        <v>-</v>
      </c>
      <c r="F10" s="407" t="str">
        <f>IF(C10="","-",O23)</f>
        <v>-</v>
      </c>
      <c r="G10" s="408" t="str">
        <f t="shared" ref="G10:G19" si="0">IF(AND(B10="", D10="Liquid"),
   template_label_liquid_warning,
IF(AND(OR(B10="m³ - cubic meters", B10="L - Liter"), D10="Liquid"),
   "",
IF(AND(OR(B10="Gg - Gigagram", B10="t - tonne", B10="Kg - Kilogram", B10="g - gram"), D10="Liquid"),
   template_label_liquid_warning,
IF(AND(B10="", D10="Gaseous"),
   template_label_gaseous_warning,
IF(AND(OR(B10="m³ - cubic meters", B10="L - Liter"), D10="Gaseous"),
   "",
IF(AND(OR(B10="Gg - Gigagram", B10="t - tonne", B10="Kg - Kilogram", B10="g - gram"), D10="Gaseous"),
   template_label_gaseous_warning,
IF(AND(B10="", D10="Solid"),
   template_label_solid_warning,
IF(AND(OR(B10="Gg - Gigagram", B10="t - tonne", B10="Kg - Kilogram", B10="g - gram"), D10="Solid"),
   "",
IF(AND(OR(B10="m³ - cubic meters", B10="L - Liter"), D10="Solid"),
   template_label_solid_warning,
"")))))))))</f>
        <v/>
      </c>
      <c r="I10" s="10" t="str">
        <f>template_label_1_in_cell_a9_select_the_fuel_used_searching_for_it_or_scrolling_down_the_list_displayed_clicking_the_cell</f>
        <v>1. In cell A9 select the Fuel used, searching for it or scrolling down the list displayed clicking the cell</v>
      </c>
      <c r="O10" s="409" t="s">
        <v>2926</v>
      </c>
      <c r="P10" s="487" t="str">
        <f>IF(A10="","-",A10)</f>
        <v>-</v>
      </c>
      <c r="Q10" s="488"/>
      <c r="S10" s="409" t="s">
        <v>2926</v>
      </c>
      <c r="T10" s="487" t="str">
        <f>IF(A11="","-",A11)</f>
        <v>-</v>
      </c>
      <c r="U10" s="488"/>
      <c r="W10" s="409" t="s">
        <v>2926</v>
      </c>
      <c r="X10" s="487" t="str">
        <f>IF(A12="","-",A12)</f>
        <v>-</v>
      </c>
      <c r="Y10" s="488"/>
      <c r="AA10" s="409" t="s">
        <v>2926</v>
      </c>
      <c r="AB10" s="487" t="str">
        <f>IF(A13="","-",A13)</f>
        <v>-</v>
      </c>
      <c r="AC10" s="488"/>
      <c r="AE10" s="409" t="s">
        <v>2926</v>
      </c>
      <c r="AF10" s="487" t="str">
        <f>IF(A14="","-",A14)</f>
        <v>-</v>
      </c>
      <c r="AG10" s="488"/>
      <c r="AI10" s="409" t="s">
        <v>2926</v>
      </c>
      <c r="AJ10" s="487" t="str">
        <f>IF(A15="","-",A15)</f>
        <v>-</v>
      </c>
      <c r="AK10" s="488"/>
      <c r="AL10" s="10"/>
      <c r="AM10" s="409" t="s">
        <v>2926</v>
      </c>
      <c r="AN10" s="487" t="str">
        <f>IF(A16="","-",A16)</f>
        <v>-</v>
      </c>
      <c r="AO10" s="488"/>
      <c r="AP10" s="10"/>
      <c r="AQ10" s="409" t="s">
        <v>2926</v>
      </c>
      <c r="AR10" s="487" t="str">
        <f>IF(A17="","-",A17)</f>
        <v>-</v>
      </c>
      <c r="AS10" s="488"/>
      <c r="AU10" s="409" t="s">
        <v>2926</v>
      </c>
      <c r="AV10" s="487" t="str">
        <f>IF(A18="","-",A18)</f>
        <v>-</v>
      </c>
      <c r="AW10" s="488"/>
      <c r="AY10" s="409" t="s">
        <v>2926</v>
      </c>
      <c r="AZ10" s="487" t="str">
        <f>IF(A19="","-",A19)</f>
        <v>-</v>
      </c>
      <c r="BA10" s="488"/>
    </row>
    <row r="11" spans="1:53" ht="15" thickBot="1" x14ac:dyDescent="0.35">
      <c r="A11" s="393"/>
      <c r="B11" s="393"/>
      <c r="C11" s="394"/>
      <c r="D11" s="410" t="str">
        <f>T11</f>
        <v>-</v>
      </c>
      <c r="E11" s="411" t="str">
        <f>T12</f>
        <v>-</v>
      </c>
      <c r="F11" s="406" t="str">
        <f>IF(C11="","-",S23)</f>
        <v>-</v>
      </c>
      <c r="G11" s="408" t="str">
        <f t="shared" si="0"/>
        <v/>
      </c>
      <c r="I11" s="10" t="str">
        <f>template_label_2_in_cell_b9_select_the_unit_of_measurement_used</f>
        <v>2. In cell B9 select the Unit of measurement used</v>
      </c>
      <c r="O11" s="409" t="s">
        <v>3019</v>
      </c>
      <c r="P11" s="489" t="str">
        <f>IF(OR(P10="", P10="-"), "-", IFERROR(IF(INDEX('Fuel Conversion Parameters'!$B$2:$B$61, MATCH(P10, 'Fuel Conversion Parameters'!$A$2:$A$61, 0))="", "MISSING VALUE", INDEX('Fuel Conversion Parameters'!$B$2:$B$61, MATCH(P10, 'Fuel Conversion Parameters'!$A$2:$A$61, 0))), "MISSING VALUE"))</f>
        <v>-</v>
      </c>
      <c r="Q11" s="488"/>
      <c r="S11" s="409" t="s">
        <v>3019</v>
      </c>
      <c r="T11" s="489" t="str">
        <f>IF(OR(T10="", T10="-"), "-", IFERROR(IF(INDEX('Fuel Conversion Parameters'!$B$2:$B$61, MATCH(T10, 'Fuel Conversion Parameters'!$A$2:$A$61, 0))="", "MISSING VALUE", INDEX('Fuel Conversion Parameters'!$B$2:$B$61, MATCH(T10, 'Fuel Conversion Parameters'!$A$2:$A$61, 0))), "MISSING VALUE"))</f>
        <v>-</v>
      </c>
      <c r="U11" s="488"/>
      <c r="W11" s="409" t="s">
        <v>3019</v>
      </c>
      <c r="X11" s="489" t="str">
        <f>IF(OR(X10="", X10="-"), "-", IFERROR(IF(INDEX('Fuel Conversion Parameters'!$B$2:$B$61, MATCH(X10, 'Fuel Conversion Parameters'!$A$2:$A$61, 0))="", "MISSING VALUE", INDEX('Fuel Conversion Parameters'!$B$2:$B$61, MATCH(X10, 'Fuel Conversion Parameters'!$A$2:$A$61, 0))), "MISSING VALUE"))</f>
        <v>-</v>
      </c>
      <c r="Y11" s="488"/>
      <c r="AA11" s="409" t="s">
        <v>3019</v>
      </c>
      <c r="AB11" s="489" t="str">
        <f>IF(OR(AB10="", AB10="-"), "-", IFERROR(IF(INDEX('Fuel Conversion Parameters'!$B$2:$B$61, MATCH(AB10, 'Fuel Conversion Parameters'!$A$2:$A$61, 0))="", "MISSING VALUE", INDEX('Fuel Conversion Parameters'!$B$2:$B$61, MATCH(AB10, 'Fuel Conversion Parameters'!$A$2:$A$61, 0))), "MISSING VALUE"))</f>
        <v>-</v>
      </c>
      <c r="AC11" s="488"/>
      <c r="AE11" s="409" t="s">
        <v>3019</v>
      </c>
      <c r="AF11" s="489" t="str">
        <f>IF(OR(AF10="", AF10="-"), "-", IFERROR(IF(INDEX('Fuel Conversion Parameters'!$B$2:$B$61, MATCH(AF10, 'Fuel Conversion Parameters'!$A$2:$A$61, 0))="", "MISSING VALUE", INDEX('Fuel Conversion Parameters'!$B$2:$B$61, MATCH(AF10, 'Fuel Conversion Parameters'!$A$2:$A$61, 0))), "MISSING VALUE"))</f>
        <v>-</v>
      </c>
      <c r="AG11" s="488"/>
      <c r="AI11" s="409" t="s">
        <v>3019</v>
      </c>
      <c r="AJ11" s="489" t="str">
        <f>IF(OR(AJ10="", AJ10="-"), "-", IFERROR(IF(INDEX('Fuel Conversion Parameters'!$B$2:$B$61, MATCH(AJ10, 'Fuel Conversion Parameters'!$A$2:$A$61, 0))="", "MISSING VALUE", INDEX('Fuel Conversion Parameters'!$B$2:$B$61, MATCH(AJ10, 'Fuel Conversion Parameters'!$A$2:$A$61, 0))), "MISSING VALUE"))</f>
        <v>-</v>
      </c>
      <c r="AK11" s="488"/>
      <c r="AL11" s="10"/>
      <c r="AM11" s="409" t="s">
        <v>3019</v>
      </c>
      <c r="AN11" s="489" t="str">
        <f>IF(OR(AN10="", AN10="-"), "-", IFERROR(IF(INDEX('Fuel Conversion Parameters'!$B$2:$B$61, MATCH(AN10, 'Fuel Conversion Parameters'!$A$2:$A$61, 0))="", "MISSING VALUE", INDEX('Fuel Conversion Parameters'!$B$2:$B$61, MATCH(AN10, 'Fuel Conversion Parameters'!$A$2:$A$61, 0))), "MISSING VALUE"))</f>
        <v>-</v>
      </c>
      <c r="AO11" s="488"/>
      <c r="AP11" s="10"/>
      <c r="AQ11" s="409" t="s">
        <v>3019</v>
      </c>
      <c r="AR11" s="489" t="str">
        <f>IF(OR(AR10="", AR10="-"), "-", IFERROR(IF(INDEX('Fuel Conversion Parameters'!$B$2:$B$61, MATCH(AR10, 'Fuel Conversion Parameters'!$A$2:$A$61, 0))="", "MISSING VALUE", INDEX('Fuel Conversion Parameters'!$B$2:$B$61, MATCH(AR10, 'Fuel Conversion Parameters'!$A$2:$A$61, 0))), "MISSING VALUE"))</f>
        <v>-</v>
      </c>
      <c r="AS11" s="488"/>
      <c r="AU11" s="409" t="s">
        <v>3019</v>
      </c>
      <c r="AV11" s="489" t="str">
        <f>IF(OR(AV10="", AV10="-"), "-", IFERROR(IF(INDEX('Fuel Conversion Parameters'!$B$2:$B$61, MATCH(AV10, 'Fuel Conversion Parameters'!$A$2:$A$61, 0))="", "MISSING VALUE", INDEX('Fuel Conversion Parameters'!$B$2:$B$61, MATCH(AV10, 'Fuel Conversion Parameters'!$A$2:$A$61, 0))), "MISSING VALUE"))</f>
        <v>-</v>
      </c>
      <c r="AW11" s="488"/>
      <c r="AY11" s="409" t="s">
        <v>3019</v>
      </c>
      <c r="AZ11" s="489" t="str">
        <f>IF(OR(AZ10="", AZ10="-"), "-", IFERROR(IF(INDEX('Fuel Conversion Parameters'!$B$2:$B$61, MATCH(AZ10, 'Fuel Conversion Parameters'!$A$2:$A$61, 0))="", "MISSING VALUE", INDEX('Fuel Conversion Parameters'!$B$2:$B$61, MATCH(AZ10, 'Fuel Conversion Parameters'!$A$2:$A$61, 0))), "MISSING VALUE"))</f>
        <v>-</v>
      </c>
      <c r="BA11" s="488"/>
    </row>
    <row r="12" spans="1:53" ht="15" thickBot="1" x14ac:dyDescent="0.35">
      <c r="A12" s="393"/>
      <c r="B12" s="393"/>
      <c r="C12" s="394"/>
      <c r="D12" s="410" t="str">
        <f>X11</f>
        <v>-</v>
      </c>
      <c r="E12" s="411" t="str">
        <f>X12</f>
        <v>-</v>
      </c>
      <c r="F12" s="406" t="str">
        <f>IF(C12="","-",W23)</f>
        <v>-</v>
      </c>
      <c r="G12" s="408" t="str">
        <f t="shared" si="0"/>
        <v/>
      </c>
      <c r="I12" s="10" t="str">
        <f>template_label_3_in_cell_c9_select_the_amount_of_fuel_used</f>
        <v>3. In cell C9 select the Amount of fuel used</v>
      </c>
      <c r="O12" s="409" t="s">
        <v>3577</v>
      </c>
      <c r="P12" s="489" t="str">
        <f>IF(OR(P10="", P10="-"), "-", IFERROR(IF(INDEX('Fuel Conversion Parameters'!$F$2:$F$61, MATCH(P10, 'Fuel Conversion Parameters'!$A$2:$A$61, 0))="", "MISSING VALUE", INDEX('Fuel Conversion Parameters'!$F$2:$F$61, MATCH(P10, 'Fuel Conversion Parameters'!$A$2:$A$61, 0))), "MISSING VALUE"))</f>
        <v>-</v>
      </c>
      <c r="Q12" s="488"/>
      <c r="S12" s="409" t="s">
        <v>3577</v>
      </c>
      <c r="T12" s="489" t="str">
        <f>IF(OR(T10="", T10="-"), "-", IFERROR(IF(INDEX('Fuel Conversion Parameters'!$F$2:$F$61, MATCH(T10, 'Fuel Conversion Parameters'!$A$2:$A$61, 0))="", "MISSING VALUE", INDEX('Fuel Conversion Parameters'!$F$2:$F$61, MATCH(T10, 'Fuel Conversion Parameters'!$A$2:$A$61, 0))), "MISSING VALUE"))</f>
        <v>-</v>
      </c>
      <c r="U12" s="488"/>
      <c r="W12" s="409" t="s">
        <v>3577</v>
      </c>
      <c r="X12" s="489" t="str">
        <f>IF(OR(X10="", X10="-"), "-", IFERROR(IF(INDEX('Fuel Conversion Parameters'!$F$2:$F$61, MATCH(X10, 'Fuel Conversion Parameters'!$A$2:$A$61, 0))="", "MISSING VALUE", INDEX('Fuel Conversion Parameters'!$F$2:$F$61, MATCH(X10, 'Fuel Conversion Parameters'!$A$2:$A$61, 0))), "MISSING VALUE"))</f>
        <v>-</v>
      </c>
      <c r="Y12" s="488"/>
      <c r="AA12" s="409" t="s">
        <v>3577</v>
      </c>
      <c r="AB12" s="489" t="str">
        <f>IF(OR(AB10="", AB10="-"), "-", IFERROR(IF(INDEX('Fuel Conversion Parameters'!$F$2:$F$61, MATCH(AB10, 'Fuel Conversion Parameters'!$A$2:$A$61, 0))="", "MISSING VALUE", INDEX('Fuel Conversion Parameters'!$F$2:$F$61, MATCH(AB10, 'Fuel Conversion Parameters'!$A$2:$A$61, 0))), "MISSING VALUE"))</f>
        <v>-</v>
      </c>
      <c r="AC12" s="488"/>
      <c r="AE12" s="409" t="s">
        <v>3577</v>
      </c>
      <c r="AF12" s="489" t="str">
        <f>IF(OR(AF10="", AF10="-"), "-", IFERROR(IF(INDEX('Fuel Conversion Parameters'!$F$2:$F$61, MATCH(AF10, 'Fuel Conversion Parameters'!$A$2:$A$61, 0))="", "MISSING VALUE", INDEX('Fuel Conversion Parameters'!$F$2:$F$61, MATCH(AF10, 'Fuel Conversion Parameters'!$A$2:$A$61, 0))), "MISSING VALUE"))</f>
        <v>-</v>
      </c>
      <c r="AG12" s="488"/>
      <c r="AI12" s="409" t="s">
        <v>3577</v>
      </c>
      <c r="AJ12" s="489" t="str">
        <f>IF(OR(AJ10="", AJ10="-"), "-", IFERROR(IF(INDEX('Fuel Conversion Parameters'!$F$2:$F$61, MATCH(AJ10, 'Fuel Conversion Parameters'!$A$2:$A$61, 0))="", "MISSING VALUE", INDEX('Fuel Conversion Parameters'!$F$2:$F$61, MATCH(AJ10, 'Fuel Conversion Parameters'!$A$2:$A$61, 0))), "MISSING VALUE"))</f>
        <v>-</v>
      </c>
      <c r="AK12" s="488"/>
      <c r="AL12" s="10"/>
      <c r="AM12" s="409" t="s">
        <v>3577</v>
      </c>
      <c r="AN12" s="489" t="str">
        <f>IF(OR(AN10="", AN10="-"), "-", IFERROR(IF(INDEX('Fuel Conversion Parameters'!$F$2:$F$61, MATCH(AN10, 'Fuel Conversion Parameters'!$A$2:$A$61, 0))="", "MISSING VALUE", INDEX('Fuel Conversion Parameters'!$F$2:$F$61, MATCH(AN10, 'Fuel Conversion Parameters'!$A$2:$A$61, 0))), "MISSING VALUE"))</f>
        <v>-</v>
      </c>
      <c r="AO12" s="488"/>
      <c r="AP12" s="10"/>
      <c r="AQ12" s="409" t="s">
        <v>3577</v>
      </c>
      <c r="AR12" s="489" t="str">
        <f>IF(OR(AR10="", AR10="-"), "-", IFERROR(IF(INDEX('Fuel Conversion Parameters'!$F$2:$F$61, MATCH(AR10, 'Fuel Conversion Parameters'!$A$2:$A$61, 0))="", "MISSING VALUE", INDEX('Fuel Conversion Parameters'!$F$2:$F$61, MATCH(AR10, 'Fuel Conversion Parameters'!$A$2:$A$61, 0))), "MISSING VALUE"))</f>
        <v>-</v>
      </c>
      <c r="AS12" s="488"/>
      <c r="AU12" s="409" t="s">
        <v>3577</v>
      </c>
      <c r="AV12" s="489" t="str">
        <f>IF(OR(AV10="", AV10="-"), "-", IFERROR(IF(INDEX('Fuel Conversion Parameters'!$F$2:$F$61, MATCH(AV10, 'Fuel Conversion Parameters'!$A$2:$A$61, 0))="", "MISSING VALUE", INDEX('Fuel Conversion Parameters'!$F$2:$F$61, MATCH(AV10, 'Fuel Conversion Parameters'!$A$2:$A$61, 0))), "MISSING VALUE"))</f>
        <v>-</v>
      </c>
      <c r="AW12" s="488"/>
      <c r="AY12" s="409" t="s">
        <v>3577</v>
      </c>
      <c r="AZ12" s="489" t="str">
        <f>IF(OR(AZ10="", AZ10="-"), "-", IFERROR(IF(INDEX('Fuel Conversion Parameters'!$F$2:$F$61, MATCH(AZ10, 'Fuel Conversion Parameters'!$A$2:$A$61, 0))="", "MISSING VALUE", INDEX('Fuel Conversion Parameters'!$F$2:$F$61, MATCH(AZ10, 'Fuel Conversion Parameters'!$A$2:$A$61, 0))), "MISSING VALUE"))</f>
        <v>-</v>
      </c>
      <c r="BA12" s="488"/>
    </row>
    <row r="13" spans="1:53" x14ac:dyDescent="0.3">
      <c r="A13" s="393"/>
      <c r="B13" s="393"/>
      <c r="C13" s="394"/>
      <c r="D13" s="410" t="str">
        <f>AB11</f>
        <v>-</v>
      </c>
      <c r="E13" s="411" t="str">
        <f>AB12</f>
        <v>-</v>
      </c>
      <c r="F13" s="406" t="str">
        <f>IF(C13="","-",AA23)</f>
        <v>-</v>
      </c>
      <c r="G13" s="408" t="str">
        <f t="shared" si="0"/>
        <v/>
      </c>
      <c r="I13" s="10" t="str">
        <f>template_label_4_in_cell_d9_it_is_displayed_the_state_of_matter_for_the_fuel_selected</f>
        <v>4. In cell D9 it is displayed the State of matter for the Fuel selected</v>
      </c>
      <c r="O13" s="490"/>
      <c r="P13" s="19"/>
      <c r="Q13" s="488"/>
      <c r="S13" s="490"/>
      <c r="T13" s="19"/>
      <c r="U13" s="488"/>
      <c r="W13" s="490"/>
      <c r="X13" s="19"/>
      <c r="Y13" s="488"/>
      <c r="AA13" s="490"/>
      <c r="AB13" s="19"/>
      <c r="AC13" s="488"/>
      <c r="AE13" s="490"/>
      <c r="AF13" s="19"/>
      <c r="AG13" s="488"/>
      <c r="AI13" s="490"/>
      <c r="AJ13" s="19"/>
      <c r="AK13" s="488"/>
      <c r="AL13" s="10"/>
      <c r="AM13" s="490"/>
      <c r="AN13" s="19"/>
      <c r="AO13" s="488"/>
      <c r="AP13" s="10"/>
      <c r="AQ13" s="490"/>
      <c r="AR13" s="19"/>
      <c r="AS13" s="488"/>
      <c r="AU13" s="490"/>
      <c r="AV13" s="19"/>
      <c r="AW13" s="488"/>
      <c r="AY13" s="490"/>
      <c r="AZ13" s="19"/>
      <c r="BA13" s="488"/>
    </row>
    <row r="14" spans="1:53" x14ac:dyDescent="0.3">
      <c r="A14" s="393"/>
      <c r="B14" s="393"/>
      <c r="C14" s="394"/>
      <c r="D14" s="410" t="str">
        <f>AF11</f>
        <v>-</v>
      </c>
      <c r="E14" s="411" t="str">
        <f>AF12</f>
        <v>-</v>
      </c>
      <c r="F14" s="406" t="str">
        <f>IF(C14="","-",AE23)</f>
        <v>-</v>
      </c>
      <c r="G14" s="408" t="str">
        <f t="shared" si="0"/>
        <v/>
      </c>
      <c r="I14" s="10" t="str">
        <f>template_label_5_in_cell_e9_it_is_displayed_the_typical_renewability_state_for_the_fuel_selected</f>
        <v>5. In cell E9 it is displayed the Typical renewability state for the Fuel selected</v>
      </c>
      <c r="O14" s="491"/>
      <c r="Q14" s="488"/>
      <c r="S14" s="491"/>
      <c r="U14" s="488"/>
      <c r="W14" s="491"/>
      <c r="Y14" s="488"/>
      <c r="AA14" s="491"/>
      <c r="AC14" s="488"/>
      <c r="AE14" s="491"/>
      <c r="AG14" s="488"/>
      <c r="AI14" s="491"/>
      <c r="AK14" s="488"/>
      <c r="AL14" s="10"/>
      <c r="AM14" s="491"/>
      <c r="AN14" s="10"/>
      <c r="AO14" s="488"/>
      <c r="AP14" s="10"/>
      <c r="AQ14" s="491"/>
      <c r="AS14" s="488"/>
      <c r="AU14" s="491"/>
      <c r="AW14" s="488"/>
      <c r="AY14" s="491"/>
      <c r="BA14" s="488"/>
    </row>
    <row r="15" spans="1:53" ht="15" thickBot="1" x14ac:dyDescent="0.35">
      <c r="A15" s="393"/>
      <c r="B15" s="393"/>
      <c r="C15" s="394"/>
      <c r="D15" s="410" t="str">
        <f>AJ11</f>
        <v>-</v>
      </c>
      <c r="E15" s="411" t="str">
        <f>AJ12</f>
        <v>-</v>
      </c>
      <c r="F15" s="406" t="str">
        <f>IF(C15="","-",AI23)</f>
        <v>-</v>
      </c>
      <c r="G15" s="408" t="str">
        <f t="shared" si="0"/>
        <v/>
      </c>
      <c r="I15" s="10" t="str">
        <f>template_label_6_in_cell_f9_is_displayed_the_energy_produced_in_mega_watt_hours_by_the_amount_of_fuel_specified</f>
        <v>6. In cell F9 is displayed the Energy produced in Mega Watt hours by the Amount of Fuel specified</v>
      </c>
      <c r="O15" s="492"/>
      <c r="Q15" s="488"/>
      <c r="S15" s="492"/>
      <c r="U15" s="488"/>
      <c r="W15" s="491"/>
      <c r="Y15" s="488"/>
      <c r="AA15" s="491"/>
      <c r="AC15" s="488"/>
      <c r="AE15" s="491"/>
      <c r="AG15" s="488"/>
      <c r="AI15" s="491"/>
      <c r="AK15" s="488"/>
      <c r="AL15" s="10"/>
      <c r="AM15" s="491"/>
      <c r="AN15" s="10"/>
      <c r="AO15" s="488"/>
      <c r="AP15" s="10"/>
      <c r="AQ15" s="491"/>
      <c r="AS15" s="488"/>
      <c r="AU15" s="491"/>
      <c r="AW15" s="488"/>
      <c r="AY15" s="491"/>
      <c r="BA15" s="488"/>
    </row>
    <row r="16" spans="1:53" ht="15" thickBot="1" x14ac:dyDescent="0.35">
      <c r="A16" s="393"/>
      <c r="B16" s="393"/>
      <c r="C16" s="394"/>
      <c r="D16" s="410" t="str">
        <f>AN11</f>
        <v>-</v>
      </c>
      <c r="E16" s="411" t="str">
        <f>AN12</f>
        <v>-</v>
      </c>
      <c r="F16" s="406" t="str">
        <f>IF(C16="","-",AM23)</f>
        <v>-</v>
      </c>
      <c r="G16" s="408" t="str">
        <f t="shared" si="0"/>
        <v/>
      </c>
      <c r="I16" s="10" t="str">
        <f>template_label_7_in_cell_a28_is_displayed_the_total_energy_in_mega_watt_hours</f>
        <v>7. In cell A28 is displayed the Total Energy in Mega Watt hours</v>
      </c>
      <c r="O16" s="493" t="s">
        <v>2756</v>
      </c>
      <c r="P16" s="494">
        <f>B10</f>
        <v>0</v>
      </c>
      <c r="Q16" s="495"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493" t="s">
        <v>2756</v>
      </c>
      <c r="T16" s="494">
        <f>B11</f>
        <v>0</v>
      </c>
      <c r="U16" s="495"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493" t="s">
        <v>2756</v>
      </c>
      <c r="X16" s="494">
        <f>B12</f>
        <v>0</v>
      </c>
      <c r="Y16" s="488"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493" t="s">
        <v>2756</v>
      </c>
      <c r="AB16" s="494">
        <f>B13</f>
        <v>0</v>
      </c>
      <c r="AC16" s="495"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493" t="s">
        <v>2756</v>
      </c>
      <c r="AF16" s="494">
        <f>B14</f>
        <v>0</v>
      </c>
      <c r="AG16" s="495"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493" t="s">
        <v>2756</v>
      </c>
      <c r="AJ16" s="494">
        <f>B15</f>
        <v>0</v>
      </c>
      <c r="AK16" s="495"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493" t="s">
        <v>2756</v>
      </c>
      <c r="AN16" s="494">
        <f>B16</f>
        <v>0</v>
      </c>
      <c r="AO16" s="495"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493" t="s">
        <v>2756</v>
      </c>
      <c r="AR16" s="494">
        <f>B17</f>
        <v>0</v>
      </c>
      <c r="AS16" s="495"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493" t="s">
        <v>2756</v>
      </c>
      <c r="AV16" s="494">
        <f>B18</f>
        <v>0</v>
      </c>
      <c r="AW16" s="495"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493" t="s">
        <v>2756</v>
      </c>
      <c r="AZ16" s="494">
        <f>B19</f>
        <v>0</v>
      </c>
      <c r="BA16" s="495"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35">
      <c r="A17" s="393"/>
      <c r="B17" s="393"/>
      <c r="C17" s="394"/>
      <c r="D17" s="410" t="str">
        <f>AR11</f>
        <v>-</v>
      </c>
      <c r="E17" s="411" t="str">
        <f>AR12</f>
        <v>-</v>
      </c>
      <c r="F17" s="406" t="str">
        <f>IF(C17="","-",AQ23)</f>
        <v>-</v>
      </c>
      <c r="G17" s="408" t="str">
        <f t="shared" si="0"/>
        <v/>
      </c>
      <c r="I17" s="10" t="str">
        <f>template_label_8_in_cell_a31_is_displayed_the_total_renewable_energy_in_mega_watt_hours</f>
        <v>8. In cell A31 is displayed the Total Renewable Energy in Mega Watt hours</v>
      </c>
      <c r="O17" s="409" t="s">
        <v>3024</v>
      </c>
      <c r="P17" s="496">
        <f>C10</f>
        <v>0</v>
      </c>
      <c r="Q17" s="488"/>
      <c r="S17" s="409" t="s">
        <v>3024</v>
      </c>
      <c r="T17" s="496">
        <f>C11</f>
        <v>0</v>
      </c>
      <c r="U17" s="488"/>
      <c r="W17" s="409" t="s">
        <v>3024</v>
      </c>
      <c r="X17" s="496">
        <f>C12</f>
        <v>0</v>
      </c>
      <c r="Y17" s="488"/>
      <c r="AA17" s="409" t="s">
        <v>3024</v>
      </c>
      <c r="AB17" s="496">
        <f>C13</f>
        <v>0</v>
      </c>
      <c r="AC17" s="488"/>
      <c r="AE17" s="409" t="s">
        <v>3024</v>
      </c>
      <c r="AF17" s="496">
        <f>C14</f>
        <v>0</v>
      </c>
      <c r="AG17" s="488"/>
      <c r="AI17" s="409" t="s">
        <v>3024</v>
      </c>
      <c r="AJ17" s="496">
        <f>C15</f>
        <v>0</v>
      </c>
      <c r="AK17" s="488"/>
      <c r="AL17" s="10"/>
      <c r="AM17" s="409" t="s">
        <v>3024</v>
      </c>
      <c r="AN17" s="496">
        <f>C16</f>
        <v>0</v>
      </c>
      <c r="AO17" s="488"/>
      <c r="AP17" s="10"/>
      <c r="AQ17" s="409" t="s">
        <v>3024</v>
      </c>
      <c r="AR17" s="496">
        <f>C17</f>
        <v>0</v>
      </c>
      <c r="AS17" s="488"/>
      <c r="AU17" s="409" t="s">
        <v>3024</v>
      </c>
      <c r="AV17" s="496">
        <f>C18</f>
        <v>0</v>
      </c>
      <c r="AW17" s="488"/>
      <c r="AY17" s="409" t="s">
        <v>3024</v>
      </c>
      <c r="AZ17" s="496">
        <f>C19</f>
        <v>0</v>
      </c>
      <c r="BA17" s="488"/>
    </row>
    <row r="18" spans="1:53" x14ac:dyDescent="0.3">
      <c r="A18" s="393"/>
      <c r="B18" s="393"/>
      <c r="C18" s="394"/>
      <c r="D18" s="410" t="str">
        <f>AV11</f>
        <v>-</v>
      </c>
      <c r="E18" s="411" t="str">
        <f>AV12</f>
        <v>-</v>
      </c>
      <c r="F18" s="406" t="str">
        <f>IF(C18="","-",AU23)</f>
        <v>-</v>
      </c>
      <c r="G18" s="408" t="str">
        <f t="shared" si="0"/>
        <v/>
      </c>
      <c r="I18" s="10" t="str">
        <f>template_label_9_in_cell_b31_is_displayed_the_total_nonrenewable_energy_in_mega_watt_hours</f>
        <v>9. In cell B31 is displayed the Total Non-renewable Energy in Mega Watt hours</v>
      </c>
      <c r="J18" s="412"/>
      <c r="K18" s="412"/>
      <c r="L18" s="412"/>
      <c r="M18" s="412"/>
      <c r="O18" s="491" t="str">
        <f>IFERROR(VLOOKUP(P10, 'Fuel Conversion Parameters'!$A:$C, 3, FALSE), "")</f>
        <v/>
      </c>
      <c r="P18" s="499" t="str">
        <f>IF(P16="g - gram",P17*0.000000001,
IF(P16="Kg - Kilogram",P17*0.000001,
IF(P16="t - tonne",P17*0.001,
IF(P16="Gg - Gigagram",P17*1,
IF(P16="m³ - cubic meters",P17*1000,
IF(P16="L - Liter",P17*1,
""))))))</f>
        <v/>
      </c>
      <c r="Q18" s="488"/>
      <c r="S18" s="491" t="str">
        <f>IFERROR(VLOOKUP(T10, 'Fuel Conversion Parameters'!$A:$C, 3, FALSE), "")</f>
        <v/>
      </c>
      <c r="T18" s="499" t="str">
        <f>IF(T16="g - gram",T17*0.000000001,
IF(T16="Kg - Kilogram",T17*0.000001,
IF(T16="t - tonne",T17*0.001,
IF(T16="Gg - Gigagram",T17*1,
IF(T16="m³ - cubic meters",T17*1000,
IF(T16="L - Liter",T17*1,
""))))))</f>
        <v/>
      </c>
      <c r="U18" s="488"/>
      <c r="W18" s="491" t="str">
        <f>IFERROR(VLOOKUP(X10, 'Fuel Conversion Parameters'!$A:$C, 3, FALSE), "")</f>
        <v/>
      </c>
      <c r="X18" s="499" t="str">
        <f>IF(X16="g - gram",X17*0.000000001,
IF(X16="Kg - Kilogram",X17*0.000001,
IF(X16="t - tonne",X17*0.001,
IF(X16="Gg - Gigagram",X17*1,
IF(X16="m³ - cubic meters",X17*1000,
IF(X16="L - Liter",X17*1,
""))))))</f>
        <v/>
      </c>
      <c r="Y18" s="488"/>
      <c r="AA18" s="491" t="str">
        <f>IFERROR(VLOOKUP(AB10, 'Fuel Conversion Parameters'!$A:$C, 3, FALSE), "")</f>
        <v/>
      </c>
      <c r="AB18" s="499" t="str">
        <f>IF(AB16="g - gram",AB17*0.000000001,
IF(AB16="Kg - Kilogram",AB17*0.000001,
IF(AB16="t - tonne",AB17*0.001,
IF(AB16="Gg - Gigagram",AB17*1,
IF(AB16="m³ - cubic meters",AB17*1000,
IF(AB16="L - Liter",AB17*1,
""))))))</f>
        <v/>
      </c>
      <c r="AC18" s="488"/>
      <c r="AE18" s="491" t="str">
        <f>IFERROR(VLOOKUP(AF10, 'Fuel Conversion Parameters'!$A:$C, 3, FALSE), "")</f>
        <v/>
      </c>
      <c r="AF18" s="499" t="str">
        <f>IF(AF16="g - gram",AF17*0.000000001,
IF(AF16="Kg - Kilogram",AF17*0.000001,
IF(AF16="t - tonne",AF17*0.001,
IF(AF16="Gg - Gigagram",AF17*1,
IF(AF16="m³ - cubic meters",AF17*1000,
IF(AF16="L - Liter",AF17*1,
""))))))</f>
        <v/>
      </c>
      <c r="AG18" s="488"/>
      <c r="AI18" s="491" t="str">
        <f>IFERROR(VLOOKUP(AJ10, 'Fuel Conversion Parameters'!$A:$C, 3, FALSE), "")</f>
        <v/>
      </c>
      <c r="AJ18" s="499" t="str">
        <f>IF(AJ16="g - gram",AJ17*0.000000001,
IF(AJ16="Kg - Kilogram",AJ17*0.000001,
IF(AJ16="t - tonne",AJ17*0.001,
IF(AJ16="Gg - Gigagram",AJ17*1,
IF(AJ16="m³ - cubic meters",AJ17*1000,
IF(AJ16="L - Liter",AJ17*1,
""))))))</f>
        <v/>
      </c>
      <c r="AK18" s="488"/>
      <c r="AL18" s="10"/>
      <c r="AM18" s="491" t="str">
        <f>IFERROR(VLOOKUP(AN10, 'Fuel Conversion Parameters'!$A:$C, 3, FALSE), "")</f>
        <v/>
      </c>
      <c r="AN18" s="499" t="str">
        <f>IF(AN16="g - gram",AN17*0.000000001,
IF(AN16="Kg - Kilogram",AN17*0.000001,
IF(AN16="t - tonne",AN17*0.001,
IF(AN16="Gg - Gigagram",AN17*1,
IF(AN16="m³ - cubic meters",AN17*1000,
IF(AN16="L - Liter",AN17*1,
""))))))</f>
        <v/>
      </c>
      <c r="AO18" s="488"/>
      <c r="AP18" s="10"/>
      <c r="AQ18" s="502" t="str">
        <f>IFERROR(VLOOKUP(AR10, 'Fuel Conversion Parameters'!$A:$C, 3, FALSE), "")</f>
        <v/>
      </c>
      <c r="AR18" s="499" t="str">
        <f>IF(AR16="g - gram",AR17*0.000000001,
IF(AR16="Kg - Kilogram",AR17*0.000001,
IF(AR16="t - tonne",AR17*0.001,
IF(AR16="Gg - Gigagram",AR17*1,
IF(AR16="m³ - cubic meters",AR17*1000,
IF(AR16="L - Liter",AR17*1,
""))))))</f>
        <v/>
      </c>
      <c r="AS18" s="488"/>
      <c r="AU18" s="491" t="str">
        <f>IFERROR(VLOOKUP(AV10, 'Fuel Conversion Parameters'!$A:$C, 3, FALSE), "")</f>
        <v/>
      </c>
      <c r="AV18" s="499" t="str">
        <f>IF(AV16="g - gram",AV17*0.000000001,
IF(AV16="Kg - Kilogram",AV17*0.000001,
IF(AV16="t - tonne",AV17*0.001,
IF(AV16="Gg - Gigagram",AV17*1,
IF(AV16="m³ - cubic meters",AV17*1000,
IF(AV16="L - Liter",AV17*1,
""))))))</f>
        <v/>
      </c>
      <c r="AW18" s="488"/>
      <c r="AY18" s="491" t="str">
        <f>IFERROR(VLOOKUP(AZ10, 'Fuel Conversion Parameters'!$A:$C, 3, FALSE), "")</f>
        <v/>
      </c>
      <c r="AZ18" s="499" t="str">
        <f>IF(AZ16="g - gram",AZ17*0.000000001,
IF(AZ16="Kg - Kilogram",AZ17*0.000001,
IF(AZ16="t - tonne",AZ17*0.001,
IF(AZ16="Gg - Gigagram",AZ17*1,
IF(AZ16="m³ - cubic meters",AZ17*1000,
IF(AZ16="L - Liter",AZ17*1,
""))))))</f>
        <v/>
      </c>
      <c r="BA18" s="488"/>
    </row>
    <row r="19" spans="1:53" ht="15" thickBot="1" x14ac:dyDescent="0.35">
      <c r="A19" s="504"/>
      <c r="B19" s="504"/>
      <c r="C19" s="505"/>
      <c r="D19" s="413" t="str">
        <f>AZ11</f>
        <v>-</v>
      </c>
      <c r="E19" s="414" t="str">
        <f>AZ12</f>
        <v>-</v>
      </c>
      <c r="F19" s="414" t="str">
        <f>IF(C19="","-",AY23)</f>
        <v>-</v>
      </c>
      <c r="G19" s="408" t="str">
        <f t="shared" si="0"/>
        <v/>
      </c>
      <c r="I19" s="440" t="str">
        <f>template_label_10_further_notes_can_be_found_below</f>
        <v>10. Further notes can be found below</v>
      </c>
      <c r="O19" s="491" t="str">
        <f>IFERROR(
    IF(AND(P11="Solid"),P18,
        IF(AND(P11="Liquid"),P18*_xlfn.XLOOKUP(P10,'Fuel Conversion Parameters'!$A$2:$A$51,'Fuel Conversion Parameters'!$D$2:$D$51)*10^(-6),
            IF(AND(P11="Gaseous"),P18*_xlfn.XLOOKUP(P10,'Fuel Conversion Parameters'!$A$2:$A$51,'Fuel Conversion Parameters'!$E$2:$E$51)*10^(-3)*10^(-6),"")
        )
    ),
    ""
)</f>
        <v/>
      </c>
      <c r="P19" s="18"/>
      <c r="Q19" s="488"/>
      <c r="S19" s="491" t="str">
        <f>IFERROR(
    IF(AND(T11="Solid"),T18,
        IF(AND(T11="Liquid"),T18*_xlfn.XLOOKUP(T10,'Fuel Conversion Parameters'!$A$2:$A$61,'Fuel Conversion Parameters'!$D$2:$D$61)*10^(-6),
            IF(AND(T11="Gaseous"),T18*_xlfn.XLOOKUP(T10,'Fuel Conversion Parameters'!$A$2:$A$61,'Fuel Conversion Parameters'!$E$2:$E$61)*10^(-3)*10^(-6),"")
        )
    ),
    ""
)</f>
        <v/>
      </c>
      <c r="T19" s="18"/>
      <c r="U19" s="488"/>
      <c r="W19" s="491" t="str">
        <f>IFERROR(
    IF(AND(X11="Solid"),X18,
        IF(AND(X11="Liquid"),X18*_xlfn.XLOOKUP(X10,'Fuel Conversion Parameters'!$A$2:$A$61,'Fuel Conversion Parameters'!$D$2:$D$61)*10^(-6),
            IF(AND(X11="Gaseous"),X18*_xlfn.XLOOKUP(X10,'Fuel Conversion Parameters'!$A$2:$A$61,'Fuel Conversion Parameters'!$E$2:$E$61)*10^(-3)*10^(-6),"")
        )
    ),
    ""
)</f>
        <v/>
      </c>
      <c r="X19" s="18"/>
      <c r="Y19" s="488"/>
      <c r="AA19" s="491" t="str">
        <f>IFERROR(
    IF(AND(AB11="Solid"),AB18,
        IF(AND(AB11="Liquid"),AB18*_xlfn.XLOOKUP(AB10,'Fuel Conversion Parameters'!$A$2:$A$61,'Fuel Conversion Parameters'!$D$2:$D$61)*10^(-6),
            IF(AND(AB11="Gaseous"),AB18*_xlfn.XLOOKUP(AB10,'Fuel Conversion Parameters'!$A$2:$A$61,'Fuel Conversion Parameters'!$E$2:$E$61)*10^(-3)*10^(-6),"")
        )
    ),
    ""
)</f>
        <v/>
      </c>
      <c r="AB19" s="18"/>
      <c r="AC19" s="488"/>
      <c r="AE19" s="491" t="str">
        <f>IFERROR(
    IF(AND(AF11="Solid"),AF18,
        IF(AND(AF11="Liquid"),AF18*_xlfn.XLOOKUP(AF10,'Fuel Conversion Parameters'!$A$2:$A$61,'Fuel Conversion Parameters'!$D$2:$D$61)*10^(-6),
            IF(AND(AF11="Gaseous"),AF18*_xlfn.XLOOKUP(AF10,'Fuel Conversion Parameters'!$A$2:$A$61,'Fuel Conversion Parameters'!$E$2:$E$61)*10^(-3)*10^(-6),"")
        )
    ),
    ""
)</f>
        <v/>
      </c>
      <c r="AF19" s="18"/>
      <c r="AG19" s="488"/>
      <c r="AI19" s="491" t="str">
        <f>IFERROR(
    IF(AND(AJ11="Solid"),AJ18,
        IF(AND(AJ11="Liquid"),AJ18*_xlfn.XLOOKUP(AJ10,'Fuel Conversion Parameters'!$A$2:$A$61,'Fuel Conversion Parameters'!$D$2:$D$61)*10^(-6),
            IF(AND(AJ11="Gaseous"),AJ18*_xlfn.XLOOKUP(AJ10,'Fuel Conversion Parameters'!$A$2:$A$61,'Fuel Conversion Parameters'!$E$2:$E$61)*10^(-3)*10^(-6),"")
        )
    ),
    ""
)</f>
        <v/>
      </c>
      <c r="AJ19" s="18"/>
      <c r="AK19" s="488"/>
      <c r="AL19" s="10"/>
      <c r="AM19" s="502" t="str">
        <f>IFERROR(
    IF(AND(AN11="Solid"),AN18,
        IF(AND(AN11="Liquid"),AN18*_xlfn.XLOOKUP(AN10,'Fuel Conversion Parameters'!$A$2:$A$61,'Fuel Conversion Parameters'!$D$2:$D$61)*10^(-6),
            IF(AND(AN11="Gaseous"),AN18*_xlfn.XLOOKUP(AN10,'Fuel Conversion Parameters'!$A$2:$A$61,'Fuel Conversion Parameters'!$E$2:$E$61)*10^(-3)*10^(-6),"")
        )
    ),
    ""
)</f>
        <v/>
      </c>
      <c r="AN19" s="18"/>
      <c r="AO19" s="488"/>
      <c r="AP19" s="10"/>
      <c r="AQ19" s="502" t="str">
        <f>IFERROR(
    IF(AND(AR11="Solid"),AR18,
        IF(AND(AR11="Liquid"),AR18*_xlfn.XLOOKUP(AR10,'Fuel Conversion Parameters'!$A$2:$A$61,'Fuel Conversion Parameters'!$D$2:$D$61)*10^(-6),
            IF(AND(AR11="Gaseous"),AR18*_xlfn.XLOOKUP(AR10,'Fuel Conversion Parameters'!$A$2:$A$61,'Fuel Conversion Parameters'!$E$2:$E$61)*10^(-3)*10^(-6),"")
        )
    ),
    ""
)</f>
        <v/>
      </c>
      <c r="AR19" s="18"/>
      <c r="AS19" s="488"/>
      <c r="AU19" s="491" t="str">
        <f>IFERROR(
    IF(AND(AV11="Solid"),AV18,
        IF(AND(AV11="Liquid"),AV18*_xlfn.XLOOKUP(AV10,'Fuel Conversion Parameters'!$A$2:$A$61,'Fuel Conversion Parameters'!$D$2:$D$61)*10^(-6),
            IF(AND(AV11="Gaseous"),AV18*_xlfn.XLOOKUP(AV10,'Fuel Conversion Parameters'!$A$2:$A$61,'Fuel Conversion Parameters'!$E$2:$E$61)*10^(-3)*10^(-6),"")
        )
    ),
    ""
)</f>
        <v/>
      </c>
      <c r="AV19" s="18"/>
      <c r="AW19" s="488"/>
      <c r="AY19" s="491" t="str">
        <f>IFERROR(
    IF(AND(AZ11="Solid"),AZ18,
        IF(AND(AZ11="Liquid"),AZ18*_xlfn.XLOOKUP(AZ10,'Fuel Conversion Parameters'!$A$2:$A$61,'Fuel Conversion Parameters'!$D$2:$D$61)*10^(-6),
            IF(AND(AZ11="Gaseous"),AZ18*_xlfn.XLOOKUP(AZ10,'Fuel Conversion Parameters'!$A$2:$A$61,'Fuel Conversion Parameters'!$E$2:$E$61)*10^(-3)*10^(-6),"")
        )
    ),
    ""
)</f>
        <v/>
      </c>
      <c r="AZ19" s="18"/>
      <c r="BA19" s="488"/>
    </row>
    <row r="20" spans="1:53" x14ac:dyDescent="0.3">
      <c r="A20" s="10"/>
      <c r="B20" s="10"/>
      <c r="O20" s="500" t="str">
        <f>IFERROR(IF(OR(O19="", O18=""), "", O19*O18), "")</f>
        <v/>
      </c>
      <c r="Q20" s="488"/>
      <c r="S20" s="500" t="str">
        <f>IFERROR(IF(OR(S19="", S18=""), "", S19*S18), "")</f>
        <v/>
      </c>
      <c r="U20" s="488"/>
      <c r="W20" s="500" t="str">
        <f>IFERROR(IF(OR(W19="", W18=""), "", W19*W18), "")</f>
        <v/>
      </c>
      <c r="Y20" s="488"/>
      <c r="AA20" s="500" t="str">
        <f>IFERROR(IF(OR(AA19="", AA18=""), "", AA19*AA18), "")</f>
        <v/>
      </c>
      <c r="AC20" s="488"/>
      <c r="AE20" s="500" t="str">
        <f>IFERROR(IF(OR(AE19="", AE18=""), "", AE19*AE18), "")</f>
        <v/>
      </c>
      <c r="AG20" s="488"/>
      <c r="AI20" s="500" t="str">
        <f>IFERROR(IF(OR(AI19="", AI18=""), "", AI19*AI18), "")</f>
        <v/>
      </c>
      <c r="AK20" s="488"/>
      <c r="AL20" s="10"/>
      <c r="AM20" s="500" t="str">
        <f>IFERROR(IF(OR(AM19="", AM18=""), "", AM19*AM18), "")</f>
        <v/>
      </c>
      <c r="AN20" s="10"/>
      <c r="AO20" s="488"/>
      <c r="AP20" s="10"/>
      <c r="AQ20" s="500" t="str">
        <f>IFERROR(IF(OR(AQ19="", AQ18=""), "", AQ19*AQ18), "")</f>
        <v/>
      </c>
      <c r="AS20" s="488"/>
      <c r="AU20" s="500" t="str">
        <f>IFERROR(IF(OR(AU19="", AU18=""), "", AU19*AU18), "")</f>
        <v/>
      </c>
      <c r="AW20" s="488"/>
      <c r="AY20" s="500" t="str">
        <f>IFERROR(IF(OR(AY19="", AY18=""), "", AY19*AY18), "")</f>
        <v/>
      </c>
      <c r="BA20" s="488"/>
    </row>
    <row r="21" spans="1:53" ht="15" thickBot="1" x14ac:dyDescent="0.35">
      <c r="A21" s="10"/>
      <c r="B21" s="10"/>
      <c r="I21" s="412"/>
      <c r="J21" s="412"/>
      <c r="K21" s="412"/>
      <c r="L21" s="412"/>
      <c r="M21" s="412"/>
      <c r="O21" s="491" t="str">
        <f>IFERROR(O20, "")</f>
        <v/>
      </c>
      <c r="Q21" s="488"/>
      <c r="S21" s="491" t="str">
        <f>IFERROR(S20, "")</f>
        <v/>
      </c>
      <c r="U21" s="488"/>
      <c r="W21" s="501" t="str">
        <f>IFERROR(W20, "")</f>
        <v/>
      </c>
      <c r="Y21" s="488"/>
      <c r="AA21" s="491" t="str">
        <f>IFERROR(AA20, "")</f>
        <v/>
      </c>
      <c r="AC21" s="488"/>
      <c r="AE21" s="491" t="str">
        <f>IFERROR(AE20, "")</f>
        <v/>
      </c>
      <c r="AG21" s="488"/>
      <c r="AI21" s="491" t="str">
        <f>IFERROR(AI20, "")</f>
        <v/>
      </c>
      <c r="AK21" s="488"/>
      <c r="AL21" s="10"/>
      <c r="AM21" s="502" t="str">
        <f>IFERROR(AM20, "")</f>
        <v/>
      </c>
      <c r="AN21" s="10"/>
      <c r="AO21" s="488"/>
      <c r="AP21" s="10"/>
      <c r="AQ21" s="502" t="str">
        <f>IFERROR(AQ20, "")</f>
        <v/>
      </c>
      <c r="AS21" s="488"/>
      <c r="AU21" s="491" t="str">
        <f>IFERROR(AU20, "")</f>
        <v/>
      </c>
      <c r="AW21" s="488"/>
      <c r="AY21" s="491" t="str">
        <f>IFERROR(AY20, "")</f>
        <v/>
      </c>
      <c r="BA21" s="488"/>
    </row>
    <row r="22" spans="1:53" ht="15" thickBot="1" x14ac:dyDescent="0.35">
      <c r="A22" s="10"/>
      <c r="B22" s="10"/>
      <c r="O22" s="409" t="s">
        <v>2927</v>
      </c>
      <c r="P22" s="10" t="str">
        <f>IFERROR(IF(AND(P17&lt;&gt;0,O23=0),"ERROR",""),"")</f>
        <v/>
      </c>
      <c r="Q22" s="488"/>
      <c r="S22" s="409" t="s">
        <v>2927</v>
      </c>
      <c r="T22" s="10" t="str">
        <f>IFERROR(IF(AND(T17&lt;&gt;0,S23=0),"ERROR",""),"")</f>
        <v/>
      </c>
      <c r="U22" s="488"/>
      <c r="W22" s="409" t="s">
        <v>2927</v>
      </c>
      <c r="X22" s="10" t="str">
        <f>IFERROR(IF(AND(X17&lt;&gt;0,W23=0),"ERROR",""),"")</f>
        <v/>
      </c>
      <c r="Y22" s="488"/>
      <c r="AA22" s="409" t="s">
        <v>2927</v>
      </c>
      <c r="AB22" s="10" t="str">
        <f>IFERROR(IF(AND(AB17&lt;&gt;0,AA23=0),"ERROR",""),"")</f>
        <v/>
      </c>
      <c r="AC22" s="488"/>
      <c r="AE22" s="409" t="s">
        <v>2927</v>
      </c>
      <c r="AF22" s="10" t="str">
        <f>IFERROR(IF(AND(AF17&lt;&gt;0,AE23=0),"ERROR",""),"")</f>
        <v/>
      </c>
      <c r="AG22" s="488"/>
      <c r="AI22" s="409" t="s">
        <v>2927</v>
      </c>
      <c r="AJ22" s="10" t="str">
        <f>IFERROR(IF(AND(AJ17&lt;&gt;0,AI23=0),"ERROR",""),"")</f>
        <v/>
      </c>
      <c r="AK22" s="488"/>
      <c r="AL22" s="10"/>
      <c r="AM22" s="409" t="s">
        <v>2927</v>
      </c>
      <c r="AN22" s="10" t="str">
        <f>IFERROR(IF(AND(AN17&lt;&gt;0,AM23=0),"ERROR",""),"")</f>
        <v/>
      </c>
      <c r="AO22" s="488"/>
      <c r="AP22" s="10"/>
      <c r="AQ22" s="409" t="s">
        <v>2927</v>
      </c>
      <c r="AR22" s="10" t="str">
        <f>IFERROR(IF(AND(AR17&lt;&gt;0,AQ23=0),"ERROR",""),"")</f>
        <v/>
      </c>
      <c r="AS22" s="488"/>
      <c r="AU22" s="409" t="s">
        <v>2927</v>
      </c>
      <c r="AV22" s="10" t="str">
        <f>IFERROR(IF(AND(AV17&lt;&gt;0,AU23=0),"ERROR",""),"")</f>
        <v/>
      </c>
      <c r="AW22" s="488"/>
      <c r="AY22" s="409" t="s">
        <v>2927</v>
      </c>
      <c r="AZ22" s="10" t="str">
        <f>IFERROR(IF(AND(AZ17&lt;&gt;0,AY23=0),"ERROR",""),"")</f>
        <v/>
      </c>
      <c r="BA22" s="488"/>
    </row>
    <row r="23" spans="1:53" x14ac:dyDescent="0.3">
      <c r="A23" s="1165" t="str">
        <f>template_label_transfer_the_total_results_to_the_b3_fuel_energy_consumption_reporting_cell</f>
        <v>Transfer the total calculated results to the B3 "Fuel Energy Consumption" reporting cell</v>
      </c>
      <c r="B23" s="1166"/>
      <c r="C23" s="1167"/>
      <c r="D23" s="1171" t="b">
        <v>1</v>
      </c>
      <c r="E23" s="1172"/>
      <c r="F23" s="1173"/>
      <c r="O23" s="498" t="str">
        <f>IF(OR(
   O21="",
   P17="",
   Q16="Liquid fuel: please change unit of measurement, select one among m³ and L",
   Q16="Gaseous fuel: please change unit of measurement, select one among m³ and L",
   Q16="Solid fuel: please change unit of measurement, select one among Gg, t, Kg and g"
),
"-",
IFERROR(O21*277.778, "")
)</f>
        <v>-</v>
      </c>
      <c r="P23" s="401"/>
      <c r="Q23" s="497"/>
      <c r="S23" s="498" t="str">
        <f>IF(OR(
   S21="",
   T17="",
   U16="Liquid fuel: please change unit of measurement, select one among m³ and L",
   U16="Gaseous fuel: please change unit of measurement, select one among m³ and L",
   U16="Solid fuel: please change unit of measurement, select one among Gg, t, Kg and g"
),
"-",
IFERROR(S21*277.778, "")
)</f>
        <v>-</v>
      </c>
      <c r="T23" s="401"/>
      <c r="U23" s="497"/>
      <c r="W23" s="498" t="str">
        <f>IF(OR(
   W21="",
   X17="",
   Y16="Liquid fuel: please change unit of measurement, select one among m³ and L",
   Y16="Gaseous fuel: please change unit of measurement, select one among m³ and L",
   Y16="Solid fuel: please change unit of measurement, select one among Gg, t, Kg and g"
),
"-",
IFERROR(W21*277.778, "")
)</f>
        <v>-</v>
      </c>
      <c r="X23" s="401"/>
      <c r="Y23" s="497"/>
      <c r="AA23" s="498" t="str">
        <f>IF(OR(
   AA21="",
   AB17="",
   AC16="Liquid fuel: please change unit of measurement, select one among m³ and L",
   AC16="Gaseous fuel: please change unit of measurement, select one among m³ and L",
   AC16="Solid fuel: please change unit of measurement, select one among Gg, t, Kg and g"
),
"-",
IFERROR(AA21*277.778, "")
)</f>
        <v>-</v>
      </c>
      <c r="AB23" s="401"/>
      <c r="AC23" s="497"/>
      <c r="AE23" s="498" t="str">
        <f>IF(OR(
   AE21="",
   AF17="",
   AG16="Liquid fuel: please change unit of measurement, select one among m³ and L",
   AG16="Gaseous fuel: please change unit of measurement, select one among m³ and L",
   AG16="Solid fuel: please change unit of measurement, select one among Gg, t, Kg and g"
),
"-",
IFERROR(AE21*277.778, "")
)</f>
        <v>-</v>
      </c>
      <c r="AF23" s="401"/>
      <c r="AG23" s="497"/>
      <c r="AI23" s="498" t="str">
        <f>IF(OR(
   AI21="",
   AJ17="",
   AK16="Liquid fuel: please change unit of measurement, select one among m³ and L",
   AK16="Gaseous fuel: please change unit of measurement, select one among m³ and L",
   AK16="Solid fuel: please change unit of measurement, select one among Gg, t, Kg and g"
),
"-",
IFERROR(AI21*277.778, "")
)</f>
        <v>-</v>
      </c>
      <c r="AJ23" s="401"/>
      <c r="AK23" s="497"/>
      <c r="AL23" s="10"/>
      <c r="AM23" s="498" t="str">
        <f>IF(OR(
   AM21="",
   AN17="",
   AO16="Liquid fuel: please change unit of measurement, select one among m³ and L",
   AO16="Gaseous fuel: please change unit of measurement, select one among m³ and L",
   AO16="Solid fuel: please change unit of measurement, select one among Gg, t, Kg and g"
),
"-",
IFERROR(AM21*277.778, "")
)</f>
        <v>-</v>
      </c>
      <c r="AN23" s="401"/>
      <c r="AO23" s="497"/>
      <c r="AP23" s="10"/>
      <c r="AQ23" s="498" t="str">
        <f>IF(OR(
   AQ21="",
   AR17="",
   AS16="Liquid fuel: please change unit of measurement, select one among m³ and L",
   AS16="Gaseous fuel: please change unit of measurement, select one among m³ and L",
   AS16="Solid fuel: please change unit of measurement, select one among Gg, t, Kg and g"
),
"-",
IFERROR(AQ21*277.778, "")
)</f>
        <v>-</v>
      </c>
      <c r="AR23" s="401"/>
      <c r="AS23" s="497"/>
      <c r="AU23" s="498" t="str">
        <f>IF(OR(
   AU21="",
   AV17="",
   AW16="Liquid fuel: please change unit of measurement, select one among m³ and L",
   AW16="Gaseous fuel: please change unit of measurement, select one among m³ and L",
   AW16="Solid fuel: please change unit of measurement, select one among Gg, t, Kg and g"
),
"-",
IFERROR(AU21*277.778, "")
)</f>
        <v>-</v>
      </c>
      <c r="AV23" s="401"/>
      <c r="AW23" s="497"/>
      <c r="AY23" s="498" t="str">
        <f>IF(OR(
   AY21="",
   AZ17="",
   BA16="Liquid fuel: please change unit of measurement, select one among m³ and L",
   BA16="Gaseous fuel: please change unit of measurement, select one among m³ and L",
   BA16="Solid fuel: please change unit of measurement, select one among Gg, t, Kg and g"
),
"-",
IFERROR(AY21*277.778, "")
)</f>
        <v>-</v>
      </c>
      <c r="AZ23" s="401"/>
      <c r="BA23" s="497"/>
    </row>
    <row r="24" spans="1:53" ht="15" thickBot="1" x14ac:dyDescent="0.35">
      <c r="A24" s="1168"/>
      <c r="B24" s="1169"/>
      <c r="C24" s="1170"/>
      <c r="D24" s="1174"/>
      <c r="E24" s="1175"/>
      <c r="F24" s="1176"/>
      <c r="AL24" s="10"/>
      <c r="AN24" s="10"/>
      <c r="AO24" s="10"/>
      <c r="AP24" s="10"/>
    </row>
    <row r="25" spans="1:53" x14ac:dyDescent="0.3">
      <c r="B25" s="10"/>
      <c r="AL25" s="10"/>
      <c r="AN25" s="10"/>
      <c r="AO25" s="10"/>
      <c r="AP25" s="10"/>
    </row>
    <row r="26" spans="1:53" x14ac:dyDescent="0.3">
      <c r="A26" s="10"/>
      <c r="B26" s="10"/>
      <c r="M26" s="10" t="str">
        <f>IF(P24="m³ - cubic meters",M25*1000,
IF(P24="L - Liter",M25*1,
""))</f>
        <v/>
      </c>
      <c r="Q26" s="10" t="str">
        <f>IF(T24="m³ - cubic meters",Q25*1000,
IF(T24="L - Liter",Q25*1,
""))</f>
        <v/>
      </c>
      <c r="U26" s="10" t="str">
        <f>IF(X24="m³ - cubic meters",U25*1000,
IF(X24="L - Liter",U25*1,
""))</f>
        <v/>
      </c>
      <c r="Y26" s="10" t="str">
        <f>IF(AB24="m³ - cubic meters",Y25*1000,
IF(AB24="L - Liter",Y25*1,
""))</f>
        <v/>
      </c>
      <c r="AC26" s="10" t="str">
        <f>IF(AF24="m³ - cubic meters",AC25*1000,
IF(AF24="L - Liter",AC25*1,
""))</f>
        <v/>
      </c>
      <c r="AG26" s="10" t="str">
        <f>IF(AJ24="m³ - cubic meters",AG25*1000,
IF(AJ24="L - Liter",AG25*1,
""))</f>
        <v/>
      </c>
      <c r="AK26" s="10" t="str">
        <f>IF(AN24="m³ - cubic meters",AK25*1000,
IF(AN24="L - Liter",AK25*1,
""))</f>
        <v/>
      </c>
      <c r="AL26" s="10"/>
      <c r="AN26" s="10"/>
      <c r="AO26" s="10" t="str">
        <f>IF(AR24="m³ - cubic meters",AO25*1000,
IF(AR24="L - Liter",AO25*1,
""))</f>
        <v/>
      </c>
      <c r="AP26" s="10"/>
      <c r="AS26" s="10" t="str">
        <f>IF(AV24="m³ - cubic meters",AS25*1000,
IF(AV24="L - Liter",AS25*1,
""))</f>
        <v/>
      </c>
    </row>
    <row r="27" spans="1:53" ht="15" thickBot="1" x14ac:dyDescent="0.35">
      <c r="B27" s="10"/>
      <c r="AL27" s="10"/>
      <c r="AN27" s="10"/>
      <c r="AO27" s="10"/>
      <c r="AP27" s="10"/>
    </row>
    <row r="28" spans="1:53" ht="15" thickBot="1" x14ac:dyDescent="0.35">
      <c r="A28" s="1161" t="str">
        <f>template_label_total_energy</f>
        <v>Total Energy [MWh]</v>
      </c>
      <c r="B28" s="1162"/>
      <c r="AL28" s="10"/>
      <c r="AN28" s="10"/>
      <c r="AO28" s="10"/>
      <c r="AP28" s="10"/>
    </row>
    <row r="29" spans="1:53" ht="15" thickBot="1" x14ac:dyDescent="0.35">
      <c r="A29" s="1163" t="str">
        <f>IFERROR(A32+B32, "-")</f>
        <v>-</v>
      </c>
      <c r="B29" s="1164"/>
      <c r="AL29" s="10"/>
      <c r="AN29" s="10"/>
      <c r="AO29" s="10"/>
      <c r="AP29" s="10"/>
    </row>
    <row r="30" spans="1:53" ht="15" thickBot="1" x14ac:dyDescent="0.35">
      <c r="A30" s="10"/>
      <c r="B30" s="10"/>
      <c r="AL30" s="10"/>
      <c r="AN30" s="10"/>
      <c r="AO30" s="10"/>
    </row>
    <row r="31" spans="1:53" ht="15" thickBot="1" x14ac:dyDescent="0.35">
      <c r="A31" s="409" t="str">
        <f>template_label_total_renewable_energy</f>
        <v>Total Renewable Energy [MWh]</v>
      </c>
      <c r="B31" s="402" t="str">
        <f>template_label_total_nonrenewable_energy</f>
        <v>Total Non-renewable Energy [MWh]</v>
      </c>
      <c r="AN31" s="10"/>
      <c r="AO31" s="10"/>
      <c r="AP31" s="10"/>
    </row>
    <row r="32" spans="1:53" ht="15" thickBot="1" x14ac:dyDescent="0.35">
      <c r="A32" s="415" t="str">
        <f>IF(OR(ISBLANK(A10), ISBLANK(B10), ISBLANK(C10)), "-",
    IFERROR(
        IF(COUNTIF(O23:AY23, "-")=10, "-",
            SUMIFS(O23, P12, "Renewable") +
            SUMIFS(S23, T12, "Renewable") +
            SUMIFS(W23, X12, "Renewable") +
            SUMIFS(AA23, AB12, "Renewable") +
            SUMIFS(AE23, AF12, "Renewable") +
            SUMIFS(AI23, AJ12, "Renewable") +
            SUMIFS(AM23, AN12, "Renewable") +
            SUMIFS(AQ23, AR12, "Renewable") +
            SUMIFS(AU23, AV12, "Renewable") +
            SUMIFS(AY23, AZ12, "Renewable")
        ), "-"
    )
)</f>
        <v>-</v>
      </c>
      <c r="B32" s="415" t="str">
        <f>IF(OR(ISBLANK(A10), ISBLANK(B10), ISBLANK(C10)), "-",
    IFERROR(
        IF(COUNTIF(O23:AY23, "-")=10, "-",
            SUMIFS(O23, P12, "Non-renewable") +
            SUMIFS(S23, T12, "Non-renewable") +
            SUMIFS(W23, X12, "Non-renewable") +
            SUMIFS(AA23, AB12, "Non-renewable") +
            SUMIFS(AE23, AF12, "Non-renewable") +
            SUMIFS(AI23, AJ12, "Non-renewable") +
            SUMIFS(AM23, AN12, "Non-renewable") +
            SUMIFS(AQ23, AR12, "Non-renewable") +
            SUMIFS(AU23, AV12, "Non-renewable") +
            SUMIFS(AY23, AZ12, "Non-renewable")
        ), "-"
    )
)</f>
        <v>-</v>
      </c>
      <c r="R32" s="396"/>
      <c r="AL32" s="10"/>
      <c r="AN32" s="10"/>
      <c r="AO32" s="10"/>
      <c r="AP32" s="10"/>
    </row>
    <row r="33" spans="1:42" x14ac:dyDescent="0.3">
      <c r="A33" s="416"/>
      <c r="B33" s="10"/>
      <c r="AL33" s="10"/>
      <c r="AN33" s="10"/>
      <c r="AO33" s="10"/>
      <c r="AP33" s="10"/>
    </row>
    <row r="34" spans="1:42" x14ac:dyDescent="0.3">
      <c r="A34" s="10"/>
      <c r="B34" s="10"/>
      <c r="AL34" s="10"/>
      <c r="AN34" s="10"/>
      <c r="AO34" s="10"/>
      <c r="AP34" s="10"/>
    </row>
    <row r="35" spans="1:42" x14ac:dyDescent="0.3">
      <c r="A35" s="10"/>
      <c r="B35" s="10"/>
      <c r="AL35" s="10"/>
      <c r="AN35" s="10"/>
      <c r="AO35" s="10"/>
      <c r="AP35" s="10"/>
    </row>
    <row r="36" spans="1:42" x14ac:dyDescent="0.3">
      <c r="A36" s="396" t="str">
        <f>template_label_further_notes</f>
        <v>Further notes:</v>
      </c>
      <c r="B36" s="10"/>
      <c r="AL36" s="10"/>
      <c r="AN36" s="10"/>
      <c r="AO36" s="10"/>
      <c r="AP36" s="10"/>
    </row>
    <row r="37" spans="1:42" ht="257.39999999999998" customHeight="1" x14ac:dyDescent="0.3">
      <c r="A37" s="969"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969"/>
      <c r="AL37" s="10"/>
      <c r="AN37" s="10"/>
      <c r="AO37" s="10"/>
      <c r="AP37" s="10"/>
    </row>
    <row r="38" spans="1:42" x14ac:dyDescent="0.3">
      <c r="A38" s="10"/>
      <c r="B38" s="10"/>
      <c r="AL38" s="10"/>
      <c r="AN38" s="10"/>
      <c r="AO38" s="10"/>
      <c r="AP38" s="10"/>
    </row>
    <row r="39" spans="1:42" x14ac:dyDescent="0.3">
      <c r="A39" s="1159" t="str">
        <f>template_label_energy_consumption_per_hour_in_mwh_for_solid_fuels</f>
        <v>Energy Consumption per Hour in MWh for Solid Fuels:</v>
      </c>
      <c r="B39" s="1159"/>
      <c r="AL39" s="10"/>
      <c r="AN39" s="10"/>
      <c r="AO39" s="10"/>
      <c r="AP39" s="10"/>
    </row>
    <row r="40" spans="1:42" ht="18" x14ac:dyDescent="0.35">
      <c r="A40" s="1160" t="str">
        <f>template_label_energy_solid_fuels</f>
        <v>Energy [MWh] = Mass [t] * NCV [MWh/t]</v>
      </c>
      <c r="B40" s="1160"/>
      <c r="AL40" s="10"/>
      <c r="AN40" s="10"/>
      <c r="AO40" s="10"/>
      <c r="AP40" s="10"/>
    </row>
    <row r="41" spans="1:42" x14ac:dyDescent="0.3">
      <c r="A41" s="1159"/>
      <c r="B41" s="1159"/>
      <c r="AL41" s="10"/>
      <c r="AN41" s="10"/>
      <c r="AO41" s="10"/>
      <c r="AP41" s="10"/>
    </row>
    <row r="42" spans="1:42" x14ac:dyDescent="0.3">
      <c r="A42" s="1159" t="str">
        <f>template_label_energy_consumption_per_hour_in_mwh_for_liquid_fuels</f>
        <v>Energy Consumption per Hour in MWh for Liquid Fuels:</v>
      </c>
      <c r="B42" s="1159"/>
      <c r="AL42" s="10"/>
      <c r="AN42" s="10"/>
      <c r="AO42" s="10"/>
      <c r="AP42" s="10"/>
    </row>
    <row r="43" spans="1:42" ht="18" x14ac:dyDescent="0.35">
      <c r="A43" s="1160" t="str">
        <f>template_label_mass_liquid_fuels</f>
        <v>Mass [t] = Volume [L] * Density [t/L]</v>
      </c>
      <c r="B43" s="1160"/>
      <c r="AL43" s="10"/>
      <c r="AN43" s="10"/>
      <c r="AO43" s="10"/>
      <c r="AP43" s="10"/>
    </row>
    <row r="44" spans="1:42" ht="18" x14ac:dyDescent="0.35">
      <c r="A44" s="1160" t="str">
        <f>template_label_energy_liquid_fuels</f>
        <v>Energy [MWh] = Mass [t] * [MWh/t]</v>
      </c>
      <c r="B44" s="1160"/>
      <c r="AL44" s="10"/>
      <c r="AN44" s="10"/>
      <c r="AO44" s="10"/>
      <c r="AP44" s="10"/>
    </row>
    <row r="45" spans="1:42" x14ac:dyDescent="0.3">
      <c r="A45" s="1159"/>
      <c r="B45" s="1159"/>
      <c r="AL45" s="10"/>
      <c r="AN45" s="10"/>
      <c r="AO45" s="10"/>
      <c r="AP45" s="10"/>
    </row>
    <row r="46" spans="1:42" x14ac:dyDescent="0.3">
      <c r="A46" s="1159" t="str">
        <f>template_label_energy_consumption_per_hour_in_mwh_for_gaseous_fuels</f>
        <v>Energy Consumption per Hour in MWh for Gaseous Fuels:</v>
      </c>
      <c r="B46" s="1159"/>
      <c r="AL46" s="10"/>
      <c r="AN46" s="10"/>
      <c r="AO46" s="10"/>
      <c r="AP46" s="10"/>
    </row>
    <row r="47" spans="1:42" ht="18" x14ac:dyDescent="0.35">
      <c r="A47" s="1160" t="str">
        <f>template_label_mass_gaseous_fuels</f>
        <v>Mass [t] = Volume [m³] * Density [t/m³]</v>
      </c>
      <c r="B47" s="1160"/>
      <c r="C47" s="435"/>
      <c r="AL47" s="10"/>
      <c r="AN47" s="10"/>
      <c r="AO47" s="10"/>
      <c r="AP47" s="10"/>
    </row>
    <row r="48" spans="1:42" ht="18" x14ac:dyDescent="0.35">
      <c r="A48" s="1160" t="str">
        <f>template_label_energy_gaseous_fuels</f>
        <v>Energy [MWh] = Mass [t] * NCV [MWh/t]</v>
      </c>
      <c r="B48" s="1160"/>
      <c r="AL48" s="10"/>
      <c r="AN48" s="10"/>
      <c r="AO48" s="10"/>
      <c r="AP48" s="10"/>
    </row>
    <row r="49" s="10" customFormat="1" x14ac:dyDescent="0.3"/>
    <row r="50" s="10" customFormat="1" x14ac:dyDescent="0.3"/>
    <row r="51" s="10" customFormat="1" x14ac:dyDescent="0.3"/>
    <row r="52" s="10" customFormat="1" x14ac:dyDescent="0.3"/>
    <row r="53" s="10" customFormat="1" x14ac:dyDescent="0.3"/>
    <row r="54" s="10" customFormat="1" x14ac:dyDescent="0.3"/>
    <row r="55" s="10" customFormat="1" x14ac:dyDescent="0.3"/>
    <row r="56" s="10" customFormat="1" x14ac:dyDescent="0.3"/>
    <row r="57" s="10" customFormat="1" x14ac:dyDescent="0.3"/>
    <row r="58" s="10" customFormat="1" x14ac:dyDescent="0.3"/>
    <row r="59" s="10" customFormat="1" x14ac:dyDescent="0.3"/>
    <row r="60" s="10" customFormat="1" x14ac:dyDescent="0.3"/>
    <row r="61" s="10" customFormat="1" x14ac:dyDescent="0.3"/>
    <row r="62" s="10" customFormat="1" x14ac:dyDescent="0.3"/>
    <row r="63" s="10" customFormat="1" x14ac:dyDescent="0.3"/>
    <row r="64" s="10" customFormat="1" x14ac:dyDescent="0.3"/>
    <row r="65" s="10" customFormat="1" x14ac:dyDescent="0.3"/>
    <row r="66" s="10" customFormat="1" x14ac:dyDescent="0.3"/>
    <row r="67" s="10" customFormat="1" x14ac:dyDescent="0.3"/>
    <row r="68" s="10" customFormat="1" x14ac:dyDescent="0.3"/>
    <row r="69" s="10" customFormat="1" x14ac:dyDescent="0.3"/>
    <row r="70" s="10" customFormat="1" x14ac:dyDescent="0.3"/>
    <row r="71" s="10" customFormat="1" x14ac:dyDescent="0.3"/>
    <row r="72" s="10" customFormat="1" x14ac:dyDescent="0.3"/>
    <row r="73" s="10" customFormat="1" x14ac:dyDescent="0.3"/>
    <row r="74" s="10" customFormat="1" x14ac:dyDescent="0.3"/>
    <row r="75" s="10" customFormat="1" x14ac:dyDescent="0.3"/>
    <row r="76" s="10" customFormat="1" x14ac:dyDescent="0.3"/>
    <row r="77" s="10" customFormat="1" x14ac:dyDescent="0.3"/>
    <row r="78" s="10" customFormat="1" x14ac:dyDescent="0.3"/>
    <row r="79" s="10" customFormat="1" x14ac:dyDescent="0.3"/>
    <row r="80"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row r="139" s="10" customFormat="1" x14ac:dyDescent="0.3"/>
    <row r="140" s="10" customFormat="1" x14ac:dyDescent="0.3"/>
  </sheetData>
  <sheetProtection algorithmName="SHA-512" hashValue="HhVbM0q5s4lOxuXzfvr2uAJAzNVlEMHGHp55gxD8bNTlO3rS/ukPvZCeJs3a2361DnwLe/vXUiZTIaK9Uocs6w==" saltValue="CevaG/RRIIxV7T9NpB5HGg==" spinCount="100000" sheet="1" objects="1" scenarios="1"/>
  <mergeCells count="20">
    <mergeCell ref="A46:B46"/>
    <mergeCell ref="A47:B47"/>
    <mergeCell ref="A48:B48"/>
    <mergeCell ref="A43:B43"/>
    <mergeCell ref="A44:B44"/>
    <mergeCell ref="A45:B45"/>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s>
  <conditionalFormatting sqref="A6">
    <cfRule type="expression" dxfId="122" priority="578">
      <formula>OR($P$11="Solid", $P$11="Gas")</formula>
    </cfRule>
  </conditionalFormatting>
  <conditionalFormatting sqref="D10">
    <cfRule type="expression" dxfId="121" priority="10">
      <formula>$D$10="MISSING VALUE"</formula>
    </cfRule>
  </conditionalFormatting>
  <conditionalFormatting sqref="D11">
    <cfRule type="expression" dxfId="120" priority="11">
      <formula>$D$11="MISSING VALUE"</formula>
    </cfRule>
  </conditionalFormatting>
  <conditionalFormatting sqref="D12">
    <cfRule type="expression" dxfId="119" priority="12">
      <formula>$D$12="MISSING VALUE"</formula>
    </cfRule>
  </conditionalFormatting>
  <conditionalFormatting sqref="D13">
    <cfRule type="expression" dxfId="118" priority="13">
      <formula>$D$13="MISSING VALUE"</formula>
    </cfRule>
  </conditionalFormatting>
  <conditionalFormatting sqref="D14">
    <cfRule type="expression" dxfId="117" priority="14">
      <formula>$D$14="MISSING VALUE"</formula>
    </cfRule>
  </conditionalFormatting>
  <conditionalFormatting sqref="D15">
    <cfRule type="expression" dxfId="116" priority="15">
      <formula>$D$15="MISSING VALUE"</formula>
    </cfRule>
  </conditionalFormatting>
  <conditionalFormatting sqref="D16">
    <cfRule type="expression" dxfId="115" priority="16">
      <formula>$D$16="MISSING VALUE"</formula>
    </cfRule>
  </conditionalFormatting>
  <conditionalFormatting sqref="D17">
    <cfRule type="expression" dxfId="114" priority="17">
      <formula>$D$17="MISSING VALUE"</formula>
    </cfRule>
  </conditionalFormatting>
  <conditionalFormatting sqref="D18">
    <cfRule type="expression" dxfId="113" priority="18">
      <formula>$D$18="MISSING VALUE"</formula>
    </cfRule>
  </conditionalFormatting>
  <conditionalFormatting sqref="D19">
    <cfRule type="expression" dxfId="112" priority="20">
      <formula>$D$19="MISSING VALUE"</formula>
    </cfRule>
  </conditionalFormatting>
  <conditionalFormatting sqref="E10">
    <cfRule type="expression" dxfId="111" priority="2">
      <formula>$E$10="MISSING VALUE"</formula>
    </cfRule>
  </conditionalFormatting>
  <conditionalFormatting sqref="E11">
    <cfRule type="expression" dxfId="110" priority="3">
      <formula>$E$11="MISSING VALUE"</formula>
    </cfRule>
  </conditionalFormatting>
  <conditionalFormatting sqref="E12">
    <cfRule type="expression" dxfId="109" priority="4">
      <formula>$E$12="MISSING VALUE"</formula>
    </cfRule>
  </conditionalFormatting>
  <conditionalFormatting sqref="E13">
    <cfRule type="expression" dxfId="108" priority="5">
      <formula>$E$13="MISSING VALUE"</formula>
    </cfRule>
  </conditionalFormatting>
  <conditionalFormatting sqref="E14">
    <cfRule type="expression" dxfId="107" priority="6">
      <formula>$E$14="MISSING VALUE"</formula>
    </cfRule>
  </conditionalFormatting>
  <conditionalFormatting sqref="E15">
    <cfRule type="expression" dxfId="106" priority="7">
      <formula>$E$15="MISSING VALUE"</formula>
    </cfRule>
  </conditionalFormatting>
  <conditionalFormatting sqref="E16">
    <cfRule type="expression" dxfId="105" priority="8">
      <formula>$E$16="MISSING VALUE"</formula>
    </cfRule>
  </conditionalFormatting>
  <conditionalFormatting sqref="E17">
    <cfRule type="expression" dxfId="104" priority="9">
      <formula>$E$17="MISSING VALUE"</formula>
    </cfRule>
  </conditionalFormatting>
  <conditionalFormatting sqref="E18">
    <cfRule type="expression" dxfId="103" priority="1">
      <formula>$E$18="MISSING VALUE"</formula>
    </cfRule>
  </conditionalFormatting>
  <conditionalFormatting sqref="E19">
    <cfRule type="expression" dxfId="102" priority="19">
      <formula>$E$19="MISSING VALUE"</formula>
    </cfRule>
  </conditionalFormatting>
  <conditionalFormatting sqref="G10:G19">
    <cfRule type="expression" dxfId="101" priority="22">
      <formula>$G10=template_label_solid_warning</formula>
    </cfRule>
    <cfRule type="expression" dxfId="100" priority="25">
      <formula>$G10=template_label_gaseous_warning</formula>
    </cfRule>
    <cfRule type="expression" dxfId="99" priority="26">
      <formula>$G10=template_label_liquid_warning</formula>
    </cfRule>
  </conditionalFormatting>
  <conditionalFormatting sqref="P11">
    <cfRule type="expression" dxfId="98" priority="45">
      <formula>$P$11="MISSING VALUE"</formula>
    </cfRule>
  </conditionalFormatting>
  <conditionalFormatting sqref="P12">
    <cfRule type="expression" dxfId="97" priority="155">
      <formula>$P$12="MISSING VALUE"</formula>
    </cfRule>
  </conditionalFormatting>
  <conditionalFormatting sqref="Q16 U16 Y16 AC16 AG16 AK16 AO16 AS16 AW16 BA16">
    <cfRule type="expression" dxfId="96" priority="124">
      <formula>Q$16="Solid fuel: please change unit of measurement, select one among Gg, t, Kg and g"</formula>
    </cfRule>
    <cfRule type="expression" dxfId="95" priority="125">
      <formula>Q$16="Solid fuel: please select one unit of measurement among Gg, t, Kg and g"</formula>
    </cfRule>
    <cfRule type="expression" dxfId="94" priority="126">
      <formula>Q$16="Gaseous fuel: please change unit of measurement, select one among m³ and L"</formula>
    </cfRule>
    <cfRule type="expression" dxfId="93" priority="128">
      <formula>Q$16="Gaseous fuel: please select one unit of measurement among m³ and L"</formula>
    </cfRule>
    <cfRule type="expression" dxfId="92" priority="129">
      <formula>Q$16="Liquid fuel: please select one unit of measurement among m³ and L"</formula>
    </cfRule>
    <cfRule type="expression" dxfId="91" priority="127">
      <formula>Q$16="Liquid fuel: please change unit of measurement, select one among m³ and L"</formula>
    </cfRule>
  </conditionalFormatting>
  <conditionalFormatting sqref="T11">
    <cfRule type="expression" dxfId="90" priority="130">
      <formula>$T$11="MISSING VALUE"</formula>
    </cfRule>
  </conditionalFormatting>
  <conditionalFormatting sqref="T12">
    <cfRule type="expression" dxfId="89" priority="149">
      <formula>$T$12="MISSING VALUE"</formula>
    </cfRule>
  </conditionalFormatting>
  <conditionalFormatting sqref="X11">
    <cfRule type="expression" dxfId="88" priority="42">
      <formula>$T$11="MISSING VALUE"</formula>
    </cfRule>
  </conditionalFormatting>
  <conditionalFormatting sqref="X12">
    <cfRule type="expression" dxfId="87" priority="41">
      <formula>$T$12="MISSING VALUE"</formula>
    </cfRule>
  </conditionalFormatting>
  <conditionalFormatting sqref="AB11">
    <cfRule type="expression" dxfId="86" priority="40">
      <formula>$T$11="MISSING VALUE"</formula>
    </cfRule>
  </conditionalFormatting>
  <conditionalFormatting sqref="AB12">
    <cfRule type="expression" dxfId="85" priority="39">
      <formula>$T$12="MISSING VALUE"</formula>
    </cfRule>
  </conditionalFormatting>
  <conditionalFormatting sqref="AF11">
    <cfRule type="expression" dxfId="84" priority="38">
      <formula>$T$11="MISSING VALUE"</formula>
    </cfRule>
  </conditionalFormatting>
  <conditionalFormatting sqref="AF12">
    <cfRule type="expression" dxfId="83" priority="37">
      <formula>$T$12="MISSING VALUE"</formula>
    </cfRule>
  </conditionalFormatting>
  <conditionalFormatting sqref="AJ11">
    <cfRule type="expression" dxfId="82" priority="36">
      <formula>$T$11="MISSING VALUE"</formula>
    </cfRule>
  </conditionalFormatting>
  <conditionalFormatting sqref="AJ12">
    <cfRule type="expression" dxfId="81" priority="35">
      <formula>$T$12="MISSING VALUE"</formula>
    </cfRule>
  </conditionalFormatting>
  <conditionalFormatting sqref="AN11">
    <cfRule type="expression" dxfId="80" priority="34">
      <formula>$T$11="MISSING VALUE"</formula>
    </cfRule>
  </conditionalFormatting>
  <conditionalFormatting sqref="AN12">
    <cfRule type="expression" dxfId="79" priority="33">
      <formula>$T$12="MISSING VALUE"</formula>
    </cfRule>
  </conditionalFormatting>
  <conditionalFormatting sqref="AR11">
    <cfRule type="expression" dxfId="78" priority="32">
      <formula>$T$11="MISSING VALUE"</formula>
    </cfRule>
  </conditionalFormatting>
  <conditionalFormatting sqref="AR12">
    <cfRule type="expression" dxfId="77" priority="31">
      <formula>$T$12="MISSING VALUE"</formula>
    </cfRule>
  </conditionalFormatting>
  <conditionalFormatting sqref="AV11">
    <cfRule type="expression" dxfId="76" priority="30">
      <formula>$T$11="MISSING VALUE"</formula>
    </cfRule>
  </conditionalFormatting>
  <conditionalFormatting sqref="AV12">
    <cfRule type="expression" dxfId="75" priority="29">
      <formula>$T$12="MISSING VALUE"</formula>
    </cfRule>
  </conditionalFormatting>
  <conditionalFormatting sqref="AZ11">
    <cfRule type="expression" dxfId="74" priority="28">
      <formula>$T$11="MISSING VALUE"</formula>
    </cfRule>
  </conditionalFormatting>
  <conditionalFormatting sqref="AZ12">
    <cfRule type="expression" dxfId="73" priority="27">
      <formula>$T$12="MISSING VALUE"</formula>
    </cfRule>
  </conditionalFormatting>
  <dataValidations count="6">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I19" location="template_further_notes" display="7. Further notes below" xr:uid="{5BA248E8-6D4E-4355-8574-344E2763FBC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dimension ref="A1:AY108"/>
  <sheetViews>
    <sheetView zoomScaleNormal="100" workbookViewId="0"/>
  </sheetViews>
  <sheetFormatPr defaultColWidth="8.88671875" defaultRowHeight="14.4" x14ac:dyDescent="0.3"/>
  <cols>
    <col min="1" max="1" width="82.44140625" customWidth="1"/>
    <col min="2" max="2" width="14.109375" bestFit="1" customWidth="1"/>
    <col min="3" max="3" width="18.6640625" bestFit="1" customWidth="1"/>
    <col min="4" max="4" width="20.5546875" bestFit="1" customWidth="1"/>
    <col min="5" max="5" width="21.109375" bestFit="1" customWidth="1"/>
    <col min="6" max="6" width="25.44140625" bestFit="1" customWidth="1"/>
    <col min="7" max="8" width="15.33203125" hidden="1" customWidth="1"/>
    <col min="9" max="9" width="20.44140625" hidden="1" customWidth="1"/>
    <col min="10" max="11" width="8.88671875" hidden="1" customWidth="1"/>
    <col min="12" max="12" width="23.88671875" hidden="1" customWidth="1"/>
    <col min="13" max="13" width="20.6640625" hidden="1" customWidth="1"/>
    <col min="14" max="14" width="17.6640625" hidden="1" customWidth="1"/>
    <col min="15" max="15" width="14.6640625" hidden="1" customWidth="1"/>
    <col min="16" max="16" width="27.109375" hidden="1" customWidth="1"/>
    <col min="17" max="17" width="23.88671875" hidden="1" customWidth="1"/>
    <col min="18" max="18" width="20.6640625" hidden="1" customWidth="1"/>
    <col min="19" max="19" width="17.6640625" hidden="1" customWidth="1"/>
    <col min="20" max="21" width="8.88671875" hidden="1" customWidth="1"/>
    <col min="22" max="22" width="38.5546875" hidden="1" customWidth="1"/>
    <col min="23" max="24" width="42.6640625" hidden="1" customWidth="1"/>
    <col min="25" max="25" width="48.6640625" hidden="1" customWidth="1"/>
    <col min="26" max="26" width="33.44140625" hidden="1" customWidth="1"/>
    <col min="27" max="27" width="36.44140625" hidden="1" customWidth="1"/>
    <col min="28" max="28" width="39.5546875" hidden="1" customWidth="1"/>
    <col min="29" max="29" width="42.5546875" hidden="1" customWidth="1"/>
    <col min="30" max="30" width="27.44140625" hidden="1" customWidth="1"/>
    <col min="31" max="31" width="30.44140625" hidden="1" customWidth="1"/>
    <col min="32" max="32" width="33.5546875" hidden="1" customWidth="1"/>
    <col min="33" max="33" width="36.6640625" hidden="1" customWidth="1"/>
    <col min="34" max="34" width="24.33203125" hidden="1" customWidth="1"/>
    <col min="35" max="35" width="27.109375" hidden="1" customWidth="1"/>
    <col min="36" max="36" width="30.44140625" hidden="1" customWidth="1"/>
    <col min="37" max="37" width="33.33203125" hidden="1" customWidth="1"/>
    <col min="38" max="39" width="8.88671875" hidden="1" customWidth="1"/>
    <col min="40" max="40" width="28" hidden="1" customWidth="1"/>
    <col min="41" max="41" width="29" hidden="1" customWidth="1"/>
    <col min="42" max="42" width="26" hidden="1" customWidth="1"/>
    <col min="43" max="43" width="24.88671875" hidden="1" customWidth="1"/>
    <col min="44" max="45" width="21.88671875" hidden="1" customWidth="1"/>
    <col min="46" max="46" width="24.6640625" hidden="1" customWidth="1"/>
    <col min="47" max="47" width="18.109375" hidden="1" customWidth="1"/>
    <col min="48" max="48" width="21.33203125" hidden="1" customWidth="1"/>
    <col min="49" max="49" width="13.44140625" hidden="1" customWidth="1"/>
    <col min="50" max="50" width="22.5546875" hidden="1" customWidth="1"/>
    <col min="51" max="51" width="7.109375" customWidth="1"/>
    <col min="52" max="52" width="9.109375" customWidth="1"/>
  </cols>
  <sheetData>
    <row r="1" spans="1:51" ht="29.4" thickBot="1" x14ac:dyDescent="0.35">
      <c r="A1" s="176" t="s">
        <v>2935</v>
      </c>
      <c r="B1" s="177" t="s">
        <v>3019</v>
      </c>
      <c r="C1" s="178" t="s">
        <v>3073</v>
      </c>
      <c r="D1" s="179" t="s">
        <v>3074</v>
      </c>
      <c r="E1" s="180" t="s">
        <v>3075</v>
      </c>
      <c r="F1" s="218" t="s">
        <v>3577</v>
      </c>
      <c r="G1" s="25" t="s">
        <v>2936</v>
      </c>
      <c r="H1" s="84" t="s">
        <v>2937</v>
      </c>
      <c r="I1" s="25" t="s">
        <v>2938</v>
      </c>
      <c r="J1" s="25" t="s">
        <v>3670</v>
      </c>
      <c r="K1" s="26" t="s">
        <v>2939</v>
      </c>
      <c r="L1" s="26" t="s">
        <v>2940</v>
      </c>
      <c r="M1" s="26" t="s">
        <v>2941</v>
      </c>
      <c r="N1" s="26" t="s">
        <v>2942</v>
      </c>
      <c r="O1" s="26" t="s">
        <v>2943</v>
      </c>
      <c r="P1" s="26" t="s">
        <v>2944</v>
      </c>
      <c r="Q1" s="26" t="s">
        <v>2945</v>
      </c>
      <c r="R1" s="26" t="s">
        <v>2946</v>
      </c>
      <c r="S1" s="26" t="s">
        <v>2947</v>
      </c>
      <c r="T1" s="14"/>
      <c r="U1" s="26" t="s">
        <v>2939</v>
      </c>
      <c r="V1" s="26" t="s">
        <v>2948</v>
      </c>
      <c r="W1" s="26" t="s">
        <v>2949</v>
      </c>
      <c r="X1" s="26" t="s">
        <v>2950</v>
      </c>
      <c r="Y1" s="26" t="s">
        <v>2951</v>
      </c>
      <c r="Z1" s="26" t="s">
        <v>3020</v>
      </c>
      <c r="AA1" s="26" t="s">
        <v>3021</v>
      </c>
      <c r="AB1" s="26" t="s">
        <v>3022</v>
      </c>
      <c r="AC1" s="26" t="s">
        <v>3023</v>
      </c>
      <c r="AD1" s="26" t="s">
        <v>2952</v>
      </c>
      <c r="AE1" s="26" t="s">
        <v>2953</v>
      </c>
      <c r="AF1" s="26" t="s">
        <v>2954</v>
      </c>
      <c r="AG1" s="26" t="s">
        <v>2955</v>
      </c>
      <c r="AH1" s="26" t="s">
        <v>2956</v>
      </c>
      <c r="AI1" s="26" t="s">
        <v>2957</v>
      </c>
      <c r="AJ1" s="26" t="s">
        <v>2958</v>
      </c>
      <c r="AK1" s="26" t="s">
        <v>2959</v>
      </c>
      <c r="AL1" s="8"/>
      <c r="AM1" s="191" t="s">
        <v>2939</v>
      </c>
      <c r="AN1" s="192" t="s">
        <v>3563</v>
      </c>
      <c r="AO1" s="192" t="s">
        <v>3570</v>
      </c>
      <c r="AP1" s="192" t="s">
        <v>3564</v>
      </c>
      <c r="AQ1" s="192" t="s">
        <v>3565</v>
      </c>
      <c r="AR1" s="192" t="s">
        <v>3566</v>
      </c>
      <c r="AS1" s="192" t="s">
        <v>3567</v>
      </c>
      <c r="AT1" s="192" t="s">
        <v>3568</v>
      </c>
      <c r="AU1" s="192" t="s">
        <v>3569</v>
      </c>
      <c r="AW1" s="178" t="s">
        <v>3019</v>
      </c>
      <c r="AX1" s="218" t="s">
        <v>3577</v>
      </c>
      <c r="AY1" s="307" t="s">
        <v>3676</v>
      </c>
    </row>
    <row r="2" spans="1:51" ht="15" thickBot="1" x14ac:dyDescent="0.35">
      <c r="A2" s="376" t="s">
        <v>2960</v>
      </c>
      <c r="B2" s="181" t="s">
        <v>2961</v>
      </c>
      <c r="C2" s="182">
        <v>26.7</v>
      </c>
      <c r="D2" s="299"/>
      <c r="E2" s="300"/>
      <c r="F2" s="223" t="s">
        <v>3051</v>
      </c>
      <c r="G2" s="221" t="s">
        <v>2962</v>
      </c>
      <c r="H2" s="54" t="s">
        <v>2963</v>
      </c>
      <c r="I2" s="3" t="s">
        <v>2964</v>
      </c>
      <c r="J2" s="1" t="s">
        <v>2962</v>
      </c>
      <c r="K2" s="27" t="s">
        <v>2940</v>
      </c>
      <c r="L2" s="28">
        <v>1</v>
      </c>
      <c r="M2" s="29">
        <v>1E-3</v>
      </c>
      <c r="N2" s="29">
        <v>9.9999999999999995E-7</v>
      </c>
      <c r="O2" s="29">
        <v>1.0000000000000001E-9</v>
      </c>
      <c r="P2" s="29">
        <v>1000</v>
      </c>
      <c r="Q2" s="29">
        <v>1</v>
      </c>
      <c r="R2" s="29">
        <v>1E-3</v>
      </c>
      <c r="S2" s="30">
        <v>9.9999999999999995E-7</v>
      </c>
      <c r="U2" s="27" t="s">
        <v>2948</v>
      </c>
      <c r="V2" s="41">
        <v>1</v>
      </c>
      <c r="W2" s="42">
        <v>1000</v>
      </c>
      <c r="X2" s="42">
        <v>1000000</v>
      </c>
      <c r="Y2" s="42">
        <v>1000000000</v>
      </c>
      <c r="Z2" s="42">
        <v>1E-3</v>
      </c>
      <c r="AA2" s="42">
        <v>1</v>
      </c>
      <c r="AB2" s="42">
        <v>1000</v>
      </c>
      <c r="AC2" s="42">
        <v>1000000</v>
      </c>
      <c r="AD2" s="42">
        <v>9.9999999999999998E-13</v>
      </c>
      <c r="AE2" s="42">
        <v>1.0000000000000001E-9</v>
      </c>
      <c r="AF2" s="42">
        <v>9.9999999999999995E-7</v>
      </c>
      <c r="AG2" s="42">
        <v>1E-3</v>
      </c>
      <c r="AH2" s="47">
        <v>2.7799999999999998E-13</v>
      </c>
      <c r="AI2" s="47">
        <v>2.7800000000000002E-10</v>
      </c>
      <c r="AJ2" s="47">
        <v>2.7799999999999997E-7</v>
      </c>
      <c r="AK2" s="48">
        <v>2.7799999999999998E-4</v>
      </c>
      <c r="AM2" s="193" t="s">
        <v>3563</v>
      </c>
      <c r="AN2" s="194">
        <v>1</v>
      </c>
      <c r="AO2" s="194">
        <v>0.1</v>
      </c>
      <c r="AP2" s="195">
        <v>0.01</v>
      </c>
      <c r="AQ2" s="195">
        <v>1E-3</v>
      </c>
      <c r="AR2" s="195">
        <v>9.9999999999999995E-7</v>
      </c>
      <c r="AS2" s="195">
        <v>9.9999999999999995E-7</v>
      </c>
      <c r="AT2" s="195">
        <v>1.0000000000000001E-9</v>
      </c>
      <c r="AU2" s="196">
        <v>9.9999999999999998E-13</v>
      </c>
      <c r="AW2" s="3" t="s">
        <v>2961</v>
      </c>
      <c r="AX2" s="3" t="s">
        <v>3050</v>
      </c>
      <c r="AY2" s="308"/>
    </row>
    <row r="3" spans="1:51" ht="15" thickBot="1" x14ac:dyDescent="0.35">
      <c r="A3" s="377" t="s">
        <v>2965</v>
      </c>
      <c r="B3" s="181" t="s">
        <v>2966</v>
      </c>
      <c r="C3" s="183">
        <v>44.3</v>
      </c>
      <c r="D3" s="147">
        <v>0.71</v>
      </c>
      <c r="E3" s="301"/>
      <c r="F3" s="224" t="s">
        <v>3051</v>
      </c>
      <c r="G3" s="222" t="s">
        <v>2967</v>
      </c>
      <c r="H3" s="7" t="s">
        <v>2968</v>
      </c>
      <c r="I3" s="1" t="s">
        <v>2969</v>
      </c>
      <c r="J3" s="1" t="s">
        <v>2967</v>
      </c>
      <c r="K3" s="31" t="s">
        <v>2941</v>
      </c>
      <c r="L3" s="32">
        <v>1000</v>
      </c>
      <c r="M3" s="33">
        <v>1</v>
      </c>
      <c r="N3" s="33">
        <v>1E-3</v>
      </c>
      <c r="O3" s="33">
        <v>9.9999999999999995E-7</v>
      </c>
      <c r="P3" s="33">
        <v>1000000</v>
      </c>
      <c r="Q3" s="33">
        <v>1000</v>
      </c>
      <c r="R3" s="33">
        <v>1</v>
      </c>
      <c r="S3" s="34">
        <v>1E-3</v>
      </c>
      <c r="U3" s="31" t="s">
        <v>2949</v>
      </c>
      <c r="V3" s="40">
        <v>1E-3</v>
      </c>
      <c r="W3" s="39">
        <v>1</v>
      </c>
      <c r="X3" s="39">
        <v>1000</v>
      </c>
      <c r="Y3" s="39">
        <v>1000000</v>
      </c>
      <c r="Z3" s="39">
        <v>9.9999999999999995E-7</v>
      </c>
      <c r="AA3" s="39">
        <v>1E-3</v>
      </c>
      <c r="AB3" s="39">
        <v>1</v>
      </c>
      <c r="AC3" s="39">
        <v>1000</v>
      </c>
      <c r="AD3" s="39">
        <v>1.0000000000000001E-15</v>
      </c>
      <c r="AE3" s="39">
        <v>9.9999999999999998E-13</v>
      </c>
      <c r="AF3" s="39">
        <v>1.0000000000000001E-9</v>
      </c>
      <c r="AG3" s="39">
        <v>9.9999999999999995E-7</v>
      </c>
      <c r="AH3" s="45">
        <v>2.7799999999999998E-16</v>
      </c>
      <c r="AI3" s="45">
        <v>2.7800000000000002E-10</v>
      </c>
      <c r="AJ3" s="45">
        <v>2.7799999999999997E-7</v>
      </c>
      <c r="AK3" s="49">
        <v>2.7799999999999998E-4</v>
      </c>
      <c r="AM3" s="193" t="s">
        <v>3570</v>
      </c>
      <c r="AN3" s="197">
        <v>10</v>
      </c>
      <c r="AO3" s="197">
        <v>1</v>
      </c>
      <c r="AP3" s="198">
        <v>0.1</v>
      </c>
      <c r="AQ3" s="198">
        <v>0.01</v>
      </c>
      <c r="AR3" s="198">
        <v>1.0000000000000001E-5</v>
      </c>
      <c r="AS3" s="198">
        <v>1.0000000000000001E-5</v>
      </c>
      <c r="AT3" s="198">
        <v>1E-8</v>
      </c>
      <c r="AU3" s="199">
        <v>9.9999999999999994E-12</v>
      </c>
      <c r="AW3" s="1" t="s">
        <v>2966</v>
      </c>
      <c r="AX3" s="1" t="s">
        <v>3051</v>
      </c>
      <c r="AY3" s="308"/>
    </row>
    <row r="4" spans="1:51" ht="15" thickBot="1" x14ac:dyDescent="0.35">
      <c r="A4" s="377" t="s">
        <v>2970</v>
      </c>
      <c r="B4" s="181" t="s">
        <v>2966</v>
      </c>
      <c r="C4" s="183">
        <v>27</v>
      </c>
      <c r="D4" s="147">
        <v>0.85</v>
      </c>
      <c r="E4" s="301"/>
      <c r="F4" s="224" t="s">
        <v>3050</v>
      </c>
      <c r="G4" s="222" t="s">
        <v>2971</v>
      </c>
      <c r="J4" s="1" t="s">
        <v>2971</v>
      </c>
      <c r="K4" s="31" t="s">
        <v>2942</v>
      </c>
      <c r="L4" s="32">
        <v>1000000</v>
      </c>
      <c r="M4" s="33">
        <v>1000</v>
      </c>
      <c r="N4" s="33">
        <v>1</v>
      </c>
      <c r="O4" s="33">
        <v>1E-3</v>
      </c>
      <c r="P4" s="33">
        <v>1000000000</v>
      </c>
      <c r="Q4" s="33">
        <v>1000000</v>
      </c>
      <c r="R4" s="33">
        <v>1000</v>
      </c>
      <c r="S4" s="34">
        <v>1</v>
      </c>
      <c r="U4" s="31" t="s">
        <v>2950</v>
      </c>
      <c r="V4" s="40">
        <v>9.9999999999999995E-7</v>
      </c>
      <c r="W4" s="39">
        <v>1E-3</v>
      </c>
      <c r="X4" s="39">
        <v>1</v>
      </c>
      <c r="Y4" s="39">
        <v>1000</v>
      </c>
      <c r="Z4" s="39">
        <v>1.0000000000000001E-9</v>
      </c>
      <c r="AA4" s="39">
        <v>9.9999999999999995E-7</v>
      </c>
      <c r="AB4" s="39">
        <v>1</v>
      </c>
      <c r="AC4" s="39">
        <v>1000</v>
      </c>
      <c r="AD4" s="39">
        <v>1.0000000000000001E-18</v>
      </c>
      <c r="AE4" s="39">
        <v>1.0000000000000001E-15</v>
      </c>
      <c r="AF4" s="39">
        <v>9.9999999999999998E-13</v>
      </c>
      <c r="AG4" s="39">
        <v>1.0000000000000001E-9</v>
      </c>
      <c r="AH4" s="45">
        <v>2.7799999999999998E-19</v>
      </c>
      <c r="AI4" s="45">
        <v>2.7799999999999998E-13</v>
      </c>
      <c r="AJ4" s="45">
        <v>2.7800000000000002E-10</v>
      </c>
      <c r="AK4" s="49">
        <v>2.7799999999999997E-7</v>
      </c>
      <c r="AM4" s="193" t="s">
        <v>3564</v>
      </c>
      <c r="AN4" s="197">
        <v>100</v>
      </c>
      <c r="AO4" s="197">
        <v>10</v>
      </c>
      <c r="AP4" s="198">
        <v>1</v>
      </c>
      <c r="AQ4" s="198">
        <v>0.1</v>
      </c>
      <c r="AR4" s="198">
        <v>1E-4</v>
      </c>
      <c r="AS4" s="198">
        <v>1E-4</v>
      </c>
      <c r="AT4" s="198">
        <v>9.9999999999999995E-8</v>
      </c>
      <c r="AU4" s="199">
        <v>1E-10</v>
      </c>
      <c r="AW4" s="1" t="s">
        <v>3579</v>
      </c>
      <c r="AX4" s="1"/>
      <c r="AY4" s="308"/>
    </row>
    <row r="5" spans="1:51" ht="15" thickBot="1" x14ac:dyDescent="0.35">
      <c r="A5" s="377" t="s">
        <v>2972</v>
      </c>
      <c r="B5" s="181" t="s">
        <v>2966</v>
      </c>
      <c r="C5" s="183">
        <v>27</v>
      </c>
      <c r="D5" s="217">
        <v>0.75</v>
      </c>
      <c r="E5" s="302"/>
      <c r="F5" s="224" t="s">
        <v>3050</v>
      </c>
      <c r="G5" s="222" t="s">
        <v>2973</v>
      </c>
      <c r="J5" s="1" t="s">
        <v>2973</v>
      </c>
      <c r="K5" s="31" t="s">
        <v>2943</v>
      </c>
      <c r="L5" s="32">
        <v>1000000000</v>
      </c>
      <c r="M5" s="33">
        <v>1000000</v>
      </c>
      <c r="N5" s="33">
        <v>1000</v>
      </c>
      <c r="O5" s="33">
        <v>1</v>
      </c>
      <c r="P5" s="33">
        <v>1000000000000</v>
      </c>
      <c r="Q5" s="33">
        <v>1000000000</v>
      </c>
      <c r="R5" s="33">
        <v>1000000</v>
      </c>
      <c r="S5" s="34">
        <v>1000</v>
      </c>
      <c r="U5" s="31" t="s">
        <v>2951</v>
      </c>
      <c r="V5" s="40">
        <v>1.0000000000000001E-9</v>
      </c>
      <c r="W5" s="39">
        <v>9.9999999999999995E-7</v>
      </c>
      <c r="X5" s="39">
        <v>1E-3</v>
      </c>
      <c r="Y5" s="39">
        <v>1</v>
      </c>
      <c r="Z5" s="39">
        <v>9.9999999999999998E-13</v>
      </c>
      <c r="AA5" s="39">
        <v>9.9999999999999995E-7</v>
      </c>
      <c r="AB5" s="39">
        <v>1E-3</v>
      </c>
      <c r="AC5" s="39">
        <v>1</v>
      </c>
      <c r="AD5" s="39">
        <v>9.9999999999999991E-22</v>
      </c>
      <c r="AE5" s="39">
        <v>1.0000000000000001E-18</v>
      </c>
      <c r="AF5" s="39">
        <v>1.0000000000000001E-15</v>
      </c>
      <c r="AG5" s="39">
        <v>9.9999999999999998E-13</v>
      </c>
      <c r="AH5" s="45">
        <v>2.7800000000000001E-22</v>
      </c>
      <c r="AI5" s="45">
        <v>2.7799999999999998E-16</v>
      </c>
      <c r="AJ5" s="45">
        <v>2.7799999999999998E-13</v>
      </c>
      <c r="AK5" s="49">
        <v>2.7800000000000002E-10</v>
      </c>
      <c r="AM5" s="193" t="s">
        <v>3565</v>
      </c>
      <c r="AN5" s="197">
        <v>1000</v>
      </c>
      <c r="AO5" s="197">
        <v>100</v>
      </c>
      <c r="AP5" s="198">
        <v>10</v>
      </c>
      <c r="AQ5" s="198">
        <v>1</v>
      </c>
      <c r="AR5" s="198">
        <v>1E-3</v>
      </c>
      <c r="AS5" s="198">
        <v>1E-3</v>
      </c>
      <c r="AT5" s="198">
        <v>9.9999999999999995E-7</v>
      </c>
      <c r="AU5" s="199">
        <v>1.0000000000000001E-9</v>
      </c>
      <c r="AW5" s="1"/>
      <c r="AX5" s="51"/>
      <c r="AY5" s="309" t="s">
        <v>3585</v>
      </c>
    </row>
    <row r="6" spans="1:51" ht="15" thickBot="1" x14ac:dyDescent="0.35">
      <c r="A6" s="377" t="s">
        <v>2974</v>
      </c>
      <c r="B6" s="181" t="s">
        <v>2966</v>
      </c>
      <c r="C6" s="183">
        <v>40.200000000000003</v>
      </c>
      <c r="D6" s="217">
        <v>1.0349999999999999</v>
      </c>
      <c r="E6" s="301"/>
      <c r="F6" s="224" t="s">
        <v>3051</v>
      </c>
      <c r="J6" s="1" t="s">
        <v>2963</v>
      </c>
      <c r="K6" s="31" t="s">
        <v>2944</v>
      </c>
      <c r="L6" s="32">
        <v>1E-3</v>
      </c>
      <c r="M6" s="33">
        <v>9.9999999999999995E-7</v>
      </c>
      <c r="N6" s="33">
        <v>1.0000000000000001E-9</v>
      </c>
      <c r="O6" s="33">
        <v>9.9999999999999998E-13</v>
      </c>
      <c r="P6" s="33">
        <v>1</v>
      </c>
      <c r="Q6" s="33">
        <v>1E-3</v>
      </c>
      <c r="R6" s="33">
        <v>9.9999999999999995E-7</v>
      </c>
      <c r="S6" s="34">
        <v>1.0000000000000001E-9</v>
      </c>
      <c r="U6" s="31" t="s">
        <v>3020</v>
      </c>
      <c r="V6" s="40">
        <v>1000</v>
      </c>
      <c r="W6" s="39">
        <v>1000000</v>
      </c>
      <c r="X6" s="39">
        <v>1000000000</v>
      </c>
      <c r="Y6" s="39">
        <v>1000000000000</v>
      </c>
      <c r="Z6" s="39">
        <v>1</v>
      </c>
      <c r="AA6" s="39">
        <v>1000</v>
      </c>
      <c r="AB6" s="39">
        <v>1000000</v>
      </c>
      <c r="AC6" s="39">
        <v>1000000000</v>
      </c>
      <c r="AD6" s="39">
        <v>1.0000000000000001E-9</v>
      </c>
      <c r="AE6" s="39">
        <v>9.9999999999999995E-7</v>
      </c>
      <c r="AF6" s="39">
        <v>1E-3</v>
      </c>
      <c r="AG6" s="39">
        <v>1</v>
      </c>
      <c r="AH6" s="45">
        <v>2.7800000000000002E-10</v>
      </c>
      <c r="AI6" s="45">
        <v>2.7799999999999997E-7</v>
      </c>
      <c r="AJ6" s="45">
        <v>2.7799999999999998E-4</v>
      </c>
      <c r="AK6" s="49">
        <v>0.27800000000000002</v>
      </c>
      <c r="AM6" s="193" t="s">
        <v>3566</v>
      </c>
      <c r="AN6" s="197">
        <v>1000000</v>
      </c>
      <c r="AO6" s="197">
        <v>100000</v>
      </c>
      <c r="AP6" s="198">
        <v>10000</v>
      </c>
      <c r="AQ6" s="198">
        <v>1000</v>
      </c>
      <c r="AR6" s="198">
        <v>1</v>
      </c>
      <c r="AS6" s="198">
        <v>1</v>
      </c>
      <c r="AT6" s="198">
        <v>1E-3</v>
      </c>
      <c r="AU6" s="199">
        <v>9.9999999999999995E-7</v>
      </c>
      <c r="AY6" s="309" t="s">
        <v>3586</v>
      </c>
    </row>
    <row r="7" spans="1:51" ht="15" thickBot="1" x14ac:dyDescent="0.35">
      <c r="A7" s="377" t="s">
        <v>2975</v>
      </c>
      <c r="B7" s="181" t="s">
        <v>3579</v>
      </c>
      <c r="C7" s="183">
        <v>2.4700000000000002</v>
      </c>
      <c r="D7" s="303"/>
      <c r="E7" s="219">
        <v>1.25</v>
      </c>
      <c r="F7" s="224" t="s">
        <v>3051</v>
      </c>
      <c r="J7" s="1" t="s">
        <v>2968</v>
      </c>
      <c r="K7" s="31" t="s">
        <v>2945</v>
      </c>
      <c r="L7" s="32">
        <v>1</v>
      </c>
      <c r="M7" s="33">
        <v>1E-3</v>
      </c>
      <c r="N7" s="33">
        <v>9.9999999999999995E-7</v>
      </c>
      <c r="O7" s="33">
        <v>1.0000000000000001E-9</v>
      </c>
      <c r="P7" s="33">
        <v>1000</v>
      </c>
      <c r="Q7" s="33">
        <v>1</v>
      </c>
      <c r="R7" s="33">
        <v>1E-3</v>
      </c>
      <c r="S7" s="34">
        <v>9.9999999999999995E-7</v>
      </c>
      <c r="U7" s="31" t="s">
        <v>3021</v>
      </c>
      <c r="V7" s="40">
        <v>1</v>
      </c>
      <c r="W7" s="39">
        <v>1000</v>
      </c>
      <c r="X7" s="39">
        <v>1000000</v>
      </c>
      <c r="Y7" s="39">
        <v>1000000000</v>
      </c>
      <c r="Z7" s="39">
        <v>1E-3</v>
      </c>
      <c r="AA7" s="39">
        <v>1</v>
      </c>
      <c r="AB7" s="39">
        <v>1000</v>
      </c>
      <c r="AC7" s="39">
        <v>1000000</v>
      </c>
      <c r="AD7" s="39">
        <v>9.9999999999999998E-13</v>
      </c>
      <c r="AE7" s="39">
        <v>1.0000000000000001E-9</v>
      </c>
      <c r="AF7" s="39">
        <v>9.9999999999999995E-7</v>
      </c>
      <c r="AG7" s="39">
        <v>1E-3</v>
      </c>
      <c r="AH7" s="45">
        <v>2.7799999999999998E-13</v>
      </c>
      <c r="AI7" s="45">
        <v>2.7800000000000002E-10</v>
      </c>
      <c r="AJ7" s="45">
        <v>2.7799999999999997E-7</v>
      </c>
      <c r="AK7" s="49">
        <v>2.7799999999999998E-4</v>
      </c>
      <c r="AM7" s="193" t="s">
        <v>3567</v>
      </c>
      <c r="AN7" s="197">
        <v>1000000</v>
      </c>
      <c r="AO7" s="197">
        <v>100000</v>
      </c>
      <c r="AP7" s="198">
        <v>10000</v>
      </c>
      <c r="AQ7" s="198">
        <v>1000</v>
      </c>
      <c r="AR7" s="198">
        <v>1</v>
      </c>
      <c r="AS7" s="198">
        <v>1</v>
      </c>
      <c r="AT7" s="198">
        <v>1E-3</v>
      </c>
      <c r="AU7" s="199">
        <v>9.9999999999999995E-7</v>
      </c>
      <c r="AY7" s="309" t="s">
        <v>3587</v>
      </c>
    </row>
    <row r="8" spans="1:51" ht="15" thickBot="1" x14ac:dyDescent="0.35">
      <c r="A8" s="377" t="s">
        <v>2976</v>
      </c>
      <c r="B8" s="181" t="s">
        <v>2961</v>
      </c>
      <c r="C8" s="183">
        <v>20.7</v>
      </c>
      <c r="D8" s="303"/>
      <c r="E8" s="301"/>
      <c r="F8" s="224" t="s">
        <v>3051</v>
      </c>
      <c r="K8" s="31" t="s">
        <v>2946</v>
      </c>
      <c r="L8" s="32">
        <v>1000</v>
      </c>
      <c r="M8" s="33">
        <v>1</v>
      </c>
      <c r="N8" s="33">
        <v>1E-3</v>
      </c>
      <c r="O8" s="33">
        <v>1E-3</v>
      </c>
      <c r="P8" s="33">
        <v>1000000</v>
      </c>
      <c r="Q8" s="33">
        <v>1000</v>
      </c>
      <c r="R8" s="33">
        <v>1</v>
      </c>
      <c r="S8" s="34">
        <v>1E-3</v>
      </c>
      <c r="U8" s="31" t="s">
        <v>3022</v>
      </c>
      <c r="V8" s="40">
        <v>1E-3</v>
      </c>
      <c r="W8" s="39">
        <v>1</v>
      </c>
      <c r="X8" s="39">
        <v>1000</v>
      </c>
      <c r="Y8" s="39">
        <v>1000000</v>
      </c>
      <c r="Z8" s="39">
        <v>9.9999999999999995E-7</v>
      </c>
      <c r="AA8" s="39">
        <v>1E-3</v>
      </c>
      <c r="AB8" s="39">
        <v>1</v>
      </c>
      <c r="AC8" s="39">
        <v>1000</v>
      </c>
      <c r="AD8" s="39">
        <v>1.0000000000000001E-15</v>
      </c>
      <c r="AE8" s="39">
        <v>9.9999999999999998E-13</v>
      </c>
      <c r="AF8" s="39">
        <v>1.0000000000000001E-9</v>
      </c>
      <c r="AG8" s="39">
        <v>9.9999999999999995E-7</v>
      </c>
      <c r="AH8" s="45">
        <v>2.7799999999999998E-16</v>
      </c>
      <c r="AI8" s="45">
        <v>2.7800000000000002E-10</v>
      </c>
      <c r="AJ8" s="45">
        <v>2.7799999999999997E-7</v>
      </c>
      <c r="AK8" s="49">
        <v>2.7799999999999998E-4</v>
      </c>
      <c r="AM8" s="193" t="s">
        <v>3568</v>
      </c>
      <c r="AN8" s="197">
        <v>1000000000</v>
      </c>
      <c r="AO8" s="197">
        <v>100000000</v>
      </c>
      <c r="AP8" s="198">
        <v>10000000</v>
      </c>
      <c r="AQ8" s="198">
        <v>1000000</v>
      </c>
      <c r="AR8" s="198">
        <v>1000</v>
      </c>
      <c r="AS8" s="198">
        <v>1000</v>
      </c>
      <c r="AT8" s="198">
        <v>1</v>
      </c>
      <c r="AU8" s="199">
        <v>1E-3</v>
      </c>
      <c r="AY8" s="310"/>
    </row>
    <row r="9" spans="1:51" ht="15" thickBot="1" x14ac:dyDescent="0.35">
      <c r="A9" s="377" t="s">
        <v>3578</v>
      </c>
      <c r="B9" s="181" t="s">
        <v>3579</v>
      </c>
      <c r="C9" s="217">
        <v>45.57</v>
      </c>
      <c r="D9" s="303"/>
      <c r="E9" s="185">
        <v>2.5</v>
      </c>
      <c r="F9" s="224" t="s">
        <v>3051</v>
      </c>
      <c r="K9" s="31" t="s">
        <v>2947</v>
      </c>
      <c r="L9" s="35">
        <v>1000000</v>
      </c>
      <c r="M9" s="36">
        <v>1000</v>
      </c>
      <c r="N9" s="36">
        <v>1</v>
      </c>
      <c r="O9" s="36">
        <v>1E-3</v>
      </c>
      <c r="P9" s="36">
        <v>1000000000</v>
      </c>
      <c r="Q9" s="36">
        <v>1000000</v>
      </c>
      <c r="R9" s="36">
        <v>1000</v>
      </c>
      <c r="S9" s="37">
        <v>1</v>
      </c>
      <c r="U9" s="31" t="s">
        <v>3023</v>
      </c>
      <c r="V9" s="40">
        <v>9.9999999999999995E-7</v>
      </c>
      <c r="W9" s="39">
        <v>1E-3</v>
      </c>
      <c r="X9" s="39">
        <v>1</v>
      </c>
      <c r="Y9" s="39">
        <v>1000</v>
      </c>
      <c r="Z9" s="39">
        <v>1.0000000000000001E-9</v>
      </c>
      <c r="AA9" s="39">
        <v>9.9999999999999995E-7</v>
      </c>
      <c r="AB9" s="39">
        <v>1</v>
      </c>
      <c r="AC9" s="39">
        <v>1000</v>
      </c>
      <c r="AD9" s="39">
        <v>1.0000000000000001E-18</v>
      </c>
      <c r="AE9" s="39">
        <v>1.0000000000000001E-15</v>
      </c>
      <c r="AF9" s="39">
        <v>9.9999999999999998E-13</v>
      </c>
      <c r="AG9" s="39">
        <v>1.0000000000000001E-9</v>
      </c>
      <c r="AH9" s="45">
        <v>2.7799999999999998E-19</v>
      </c>
      <c r="AI9" s="45">
        <v>2.7799999999999998E-13</v>
      </c>
      <c r="AJ9" s="45">
        <v>2.7800000000000002E-10</v>
      </c>
      <c r="AK9" s="49">
        <v>2.7799999999999997E-7</v>
      </c>
      <c r="AM9" s="193" t="s">
        <v>3569</v>
      </c>
      <c r="AN9" s="200">
        <v>1000000000000</v>
      </c>
      <c r="AO9" s="200">
        <v>100000000000</v>
      </c>
      <c r="AP9" s="201">
        <v>10000000000</v>
      </c>
      <c r="AQ9" s="201">
        <v>1000000000</v>
      </c>
      <c r="AR9" s="201">
        <v>1000000</v>
      </c>
      <c r="AS9" s="201">
        <v>1000000</v>
      </c>
      <c r="AT9" s="201">
        <v>1000</v>
      </c>
      <c r="AU9" s="202">
        <v>1</v>
      </c>
      <c r="AY9" s="309" t="s">
        <v>3588</v>
      </c>
    </row>
    <row r="10" spans="1:51" ht="15" thickBot="1" x14ac:dyDescent="0.35">
      <c r="A10" s="377" t="s">
        <v>2977</v>
      </c>
      <c r="B10" s="181" t="s">
        <v>3579</v>
      </c>
      <c r="C10" s="183">
        <v>28.2</v>
      </c>
      <c r="D10" s="303"/>
      <c r="E10" s="301"/>
      <c r="F10" s="224" t="s">
        <v>3051</v>
      </c>
      <c r="U10" s="31" t="s">
        <v>2954</v>
      </c>
      <c r="V10" s="40">
        <v>1000000</v>
      </c>
      <c r="W10" s="39">
        <v>1000000000</v>
      </c>
      <c r="X10" s="39">
        <v>1000000000000</v>
      </c>
      <c r="Y10" s="39">
        <v>1000000000000000</v>
      </c>
      <c r="Z10" s="39">
        <v>1000</v>
      </c>
      <c r="AA10" s="39">
        <v>1000000</v>
      </c>
      <c r="AB10" s="39">
        <v>1000000000</v>
      </c>
      <c r="AC10" s="39">
        <v>1000000000000</v>
      </c>
      <c r="AD10" s="39">
        <v>9.9999999999999995E-7</v>
      </c>
      <c r="AE10" s="39">
        <v>1E-3</v>
      </c>
      <c r="AF10" s="39">
        <v>1</v>
      </c>
      <c r="AG10" s="39">
        <v>1000</v>
      </c>
      <c r="AH10" s="45">
        <v>2.7780000000000001E-7</v>
      </c>
      <c r="AI10" s="45">
        <v>2.777778E-4</v>
      </c>
      <c r="AJ10" s="45">
        <v>0.27777777780000001</v>
      </c>
      <c r="AK10" s="49">
        <v>277.77777780000002</v>
      </c>
      <c r="AY10" s="310"/>
    </row>
    <row r="11" spans="1:51" ht="15" thickBot="1" x14ac:dyDescent="0.35">
      <c r="A11" s="377" t="s">
        <v>2978</v>
      </c>
      <c r="B11" s="181" t="s">
        <v>3579</v>
      </c>
      <c r="C11" s="183">
        <v>38.700000000000003</v>
      </c>
      <c r="D11" s="303"/>
      <c r="E11" s="219">
        <v>0.47499999999999998</v>
      </c>
      <c r="F11" s="224" t="s">
        <v>3051</v>
      </c>
      <c r="U11" s="31" t="s">
        <v>2955</v>
      </c>
      <c r="V11" s="40">
        <v>1000</v>
      </c>
      <c r="W11" s="39">
        <v>1000000</v>
      </c>
      <c r="X11" s="39">
        <v>1000000000</v>
      </c>
      <c r="Y11" s="39">
        <v>1000000000000</v>
      </c>
      <c r="Z11" s="39">
        <v>1</v>
      </c>
      <c r="AA11" s="39">
        <v>1000</v>
      </c>
      <c r="AB11" s="39">
        <v>1000000</v>
      </c>
      <c r="AC11" s="39">
        <v>1000000000</v>
      </c>
      <c r="AD11" s="39">
        <v>1.0000000000000001E-9</v>
      </c>
      <c r="AE11" s="39">
        <v>9.9999999999999995E-7</v>
      </c>
      <c r="AF11" s="39">
        <v>1E-3</v>
      </c>
      <c r="AG11" s="39">
        <v>1</v>
      </c>
      <c r="AH11" s="45">
        <v>2.7800000000000002E-10</v>
      </c>
      <c r="AI11" s="45">
        <v>2.7780000000000001E-7</v>
      </c>
      <c r="AJ11" s="45">
        <v>2.777778E-4</v>
      </c>
      <c r="AK11" s="49">
        <v>0.27777777780000001</v>
      </c>
      <c r="AY11" s="309" t="s">
        <v>3589</v>
      </c>
    </row>
    <row r="12" spans="1:51" ht="15" thickBot="1" x14ac:dyDescent="0.35">
      <c r="A12" s="377" t="s">
        <v>2979</v>
      </c>
      <c r="B12" s="181" t="s">
        <v>2961</v>
      </c>
      <c r="C12" s="183">
        <v>28.2</v>
      </c>
      <c r="D12" s="303"/>
      <c r="E12" s="301"/>
      <c r="F12" s="224" t="s">
        <v>3051</v>
      </c>
      <c r="U12" s="25" t="s">
        <v>2956</v>
      </c>
      <c r="V12" s="46">
        <v>3600000000000</v>
      </c>
      <c r="W12" s="45">
        <v>3600000000000000</v>
      </c>
      <c r="X12" s="45">
        <v>3.6E+18</v>
      </c>
      <c r="Y12" s="45">
        <v>3.6E+21</v>
      </c>
      <c r="Z12" s="45">
        <v>3600000000</v>
      </c>
      <c r="AA12" s="45">
        <v>3600000000000</v>
      </c>
      <c r="AB12" s="45">
        <v>3600000000000000</v>
      </c>
      <c r="AC12" s="45">
        <v>3.6E+18</v>
      </c>
      <c r="AD12" s="45">
        <v>3.6</v>
      </c>
      <c r="AE12" s="45">
        <v>3600</v>
      </c>
      <c r="AF12" s="45">
        <v>3600000</v>
      </c>
      <c r="AG12" s="45">
        <v>3600000000</v>
      </c>
      <c r="AH12" s="45">
        <v>1</v>
      </c>
      <c r="AI12" s="45">
        <v>1000</v>
      </c>
      <c r="AJ12" s="45">
        <v>1000000</v>
      </c>
      <c r="AK12" s="49">
        <v>1000000000</v>
      </c>
      <c r="AY12" s="308"/>
    </row>
    <row r="13" spans="1:51" ht="15" thickBot="1" x14ac:dyDescent="0.35">
      <c r="A13" s="377" t="s">
        <v>3582</v>
      </c>
      <c r="B13" s="181" t="s">
        <v>2966</v>
      </c>
      <c r="C13" s="183">
        <v>42.3</v>
      </c>
      <c r="D13" s="147">
        <v>0.8</v>
      </c>
      <c r="E13" s="301"/>
      <c r="F13" s="224" t="s">
        <v>3051</v>
      </c>
      <c r="U13" s="25" t="s">
        <v>2957</v>
      </c>
      <c r="V13" s="46">
        <v>3600000000</v>
      </c>
      <c r="W13" s="45">
        <v>3600000000000</v>
      </c>
      <c r="X13" s="45">
        <v>3600000000000000</v>
      </c>
      <c r="Y13" s="45">
        <v>3.6E+18</v>
      </c>
      <c r="Z13" s="45">
        <v>3600000</v>
      </c>
      <c r="AA13" s="45">
        <v>3600000000</v>
      </c>
      <c r="AB13" s="45">
        <v>3600000000000</v>
      </c>
      <c r="AC13" s="45">
        <v>3600000000000000</v>
      </c>
      <c r="AD13" s="45">
        <v>3.5999999999999999E-3</v>
      </c>
      <c r="AE13" s="45">
        <v>3.6</v>
      </c>
      <c r="AF13" s="45">
        <v>3600</v>
      </c>
      <c r="AG13" s="45">
        <v>3600000</v>
      </c>
      <c r="AH13" s="45">
        <v>1E-3</v>
      </c>
      <c r="AI13" s="45">
        <v>1</v>
      </c>
      <c r="AJ13" s="45">
        <v>1000</v>
      </c>
      <c r="AK13" s="49">
        <v>1000000</v>
      </c>
      <c r="AY13" s="308"/>
    </row>
    <row r="14" spans="1:51" x14ac:dyDescent="0.3">
      <c r="A14" s="377" t="s">
        <v>2980</v>
      </c>
      <c r="B14" s="181" t="s">
        <v>3579</v>
      </c>
      <c r="C14" s="183">
        <v>46.4</v>
      </c>
      <c r="D14" s="184"/>
      <c r="E14" s="185">
        <v>1.3</v>
      </c>
      <c r="F14" s="224" t="s">
        <v>3051</v>
      </c>
      <c r="AY14" s="308"/>
    </row>
    <row r="15" spans="1:51" x14ac:dyDescent="0.3">
      <c r="A15" s="377" t="s">
        <v>2981</v>
      </c>
      <c r="B15" s="181" t="s">
        <v>3579</v>
      </c>
      <c r="C15" s="183">
        <v>28.2</v>
      </c>
      <c r="D15" s="184"/>
      <c r="E15" s="219">
        <v>0.54</v>
      </c>
      <c r="F15" s="224" t="s">
        <v>3051</v>
      </c>
      <c r="AY15" s="309" t="s">
        <v>3590</v>
      </c>
    </row>
    <row r="16" spans="1:51" x14ac:dyDescent="0.3">
      <c r="A16" s="377" t="s">
        <v>2982</v>
      </c>
      <c r="B16" s="181" t="s">
        <v>2966</v>
      </c>
      <c r="C16" s="183">
        <v>43</v>
      </c>
      <c r="D16" s="186">
        <v>0.84</v>
      </c>
      <c r="E16" s="304"/>
      <c r="F16" s="224" t="s">
        <v>3051</v>
      </c>
      <c r="AY16" s="310"/>
    </row>
    <row r="17" spans="1:51" x14ac:dyDescent="0.3">
      <c r="A17" s="377" t="s">
        <v>2983</v>
      </c>
      <c r="B17" s="181" t="s">
        <v>2966</v>
      </c>
      <c r="C17" s="183">
        <v>44.3</v>
      </c>
      <c r="D17" s="217">
        <v>0.81</v>
      </c>
      <c r="E17" s="301"/>
      <c r="F17" s="224" t="s">
        <v>3051</v>
      </c>
      <c r="AY17" s="309" t="s">
        <v>3591</v>
      </c>
    </row>
    <row r="18" spans="1:51" x14ac:dyDescent="0.3">
      <c r="A18" s="377" t="s">
        <v>2984</v>
      </c>
      <c r="B18" s="181" t="s">
        <v>2966</v>
      </c>
      <c r="C18" s="183">
        <v>44.1</v>
      </c>
      <c r="D18" s="147">
        <v>0.79</v>
      </c>
      <c r="E18" s="301"/>
      <c r="F18" s="224" t="s">
        <v>3051</v>
      </c>
      <c r="AY18" s="308"/>
    </row>
    <row r="19" spans="1:51" x14ac:dyDescent="0.3">
      <c r="A19" s="377" t="s">
        <v>3581</v>
      </c>
      <c r="B19" s="181" t="s">
        <v>2966</v>
      </c>
      <c r="C19" s="183">
        <v>43.8</v>
      </c>
      <c r="D19" s="147">
        <v>0.8</v>
      </c>
      <c r="E19" s="301"/>
      <c r="F19" s="224" t="s">
        <v>3051</v>
      </c>
      <c r="AY19" s="308"/>
    </row>
    <row r="20" spans="1:51" x14ac:dyDescent="0.3">
      <c r="A20" s="377" t="s">
        <v>2985</v>
      </c>
      <c r="B20" s="181" t="s">
        <v>3579</v>
      </c>
      <c r="C20" s="183">
        <v>50.4</v>
      </c>
      <c r="D20" s="303"/>
      <c r="E20" s="185">
        <v>0.9</v>
      </c>
      <c r="F20" s="224" t="s">
        <v>3050</v>
      </c>
      <c r="AY20" s="308"/>
    </row>
    <row r="21" spans="1:51" x14ac:dyDescent="0.3">
      <c r="A21" s="377" t="s">
        <v>2986</v>
      </c>
      <c r="B21" s="181" t="s">
        <v>2961</v>
      </c>
      <c r="C21" s="183">
        <v>11.9</v>
      </c>
      <c r="D21" s="303"/>
      <c r="E21" s="301"/>
      <c r="F21" s="224" t="s">
        <v>3051</v>
      </c>
      <c r="AY21" s="308"/>
    </row>
    <row r="22" spans="1:51" x14ac:dyDescent="0.3">
      <c r="A22" s="377" t="s">
        <v>2987</v>
      </c>
      <c r="B22" s="181" t="s">
        <v>2966</v>
      </c>
      <c r="C22" s="183">
        <v>47.3</v>
      </c>
      <c r="D22" s="147">
        <v>0.54</v>
      </c>
      <c r="E22" s="301"/>
      <c r="F22" s="224" t="s">
        <v>3051</v>
      </c>
      <c r="AY22" s="308"/>
    </row>
    <row r="23" spans="1:51" x14ac:dyDescent="0.3">
      <c r="A23" s="377" t="s">
        <v>2988</v>
      </c>
      <c r="B23" s="181" t="s">
        <v>2966</v>
      </c>
      <c r="C23" s="183">
        <v>40.200000000000003</v>
      </c>
      <c r="D23" s="147">
        <v>1</v>
      </c>
      <c r="E23" s="301"/>
      <c r="F23" s="224" t="s">
        <v>3051</v>
      </c>
      <c r="AY23" s="308"/>
    </row>
    <row r="24" spans="1:51" x14ac:dyDescent="0.3">
      <c r="A24" s="377" t="s">
        <v>2989</v>
      </c>
      <c r="B24" s="181" t="s">
        <v>3579</v>
      </c>
      <c r="C24" s="217">
        <v>50</v>
      </c>
      <c r="D24" s="303"/>
      <c r="E24" s="185">
        <v>0.67</v>
      </c>
      <c r="F24" s="224" t="s">
        <v>3051</v>
      </c>
      <c r="AY24" s="309" t="s">
        <v>3592</v>
      </c>
    </row>
    <row r="25" spans="1:51" x14ac:dyDescent="0.3">
      <c r="A25" s="377" t="s">
        <v>2990</v>
      </c>
      <c r="B25" s="181" t="s">
        <v>2966</v>
      </c>
      <c r="C25" s="183">
        <v>44.3</v>
      </c>
      <c r="D25" s="147">
        <v>0.74</v>
      </c>
      <c r="E25" s="301"/>
      <c r="F25" s="224" t="s">
        <v>3051</v>
      </c>
      <c r="AY25" s="308"/>
    </row>
    <row r="26" spans="1:51" x14ac:dyDescent="0.3">
      <c r="A26" s="377" t="s">
        <v>2991</v>
      </c>
      <c r="B26" s="181" t="s">
        <v>2961</v>
      </c>
      <c r="C26" s="183">
        <v>11.6</v>
      </c>
      <c r="D26" s="303"/>
      <c r="E26" s="301"/>
      <c r="F26" s="224" t="s">
        <v>3050</v>
      </c>
      <c r="AY26" s="308"/>
    </row>
    <row r="27" spans="1:51" x14ac:dyDescent="0.3">
      <c r="A27" s="378" t="s">
        <v>2992</v>
      </c>
      <c r="B27" s="181" t="s">
        <v>2961</v>
      </c>
      <c r="C27" s="183">
        <v>10</v>
      </c>
      <c r="D27" s="303"/>
      <c r="E27" s="301"/>
      <c r="F27" s="224" t="s">
        <v>3051</v>
      </c>
      <c r="AY27" s="308"/>
    </row>
    <row r="28" spans="1:51" x14ac:dyDescent="0.3">
      <c r="A28" s="377" t="s">
        <v>2993</v>
      </c>
      <c r="B28" s="181" t="s">
        <v>2966</v>
      </c>
      <c r="C28" s="183">
        <v>44.5</v>
      </c>
      <c r="D28" s="147">
        <v>0.77</v>
      </c>
      <c r="E28" s="301"/>
      <c r="F28" s="224" t="s">
        <v>3051</v>
      </c>
      <c r="AY28" s="308"/>
    </row>
    <row r="29" spans="1:51" x14ac:dyDescent="0.3">
      <c r="A29" s="377" t="s">
        <v>2994</v>
      </c>
      <c r="B29" s="181" t="s">
        <v>3579</v>
      </c>
      <c r="C29" s="183">
        <v>48</v>
      </c>
      <c r="D29" s="303"/>
      <c r="E29" s="185">
        <v>0.7</v>
      </c>
      <c r="F29" s="224" t="s">
        <v>3051</v>
      </c>
      <c r="AY29" s="308"/>
    </row>
    <row r="30" spans="1:51" x14ac:dyDescent="0.3">
      <c r="A30" s="377" t="s">
        <v>3580</v>
      </c>
      <c r="B30" s="181" t="s">
        <v>2966</v>
      </c>
      <c r="C30" s="183">
        <v>44.2</v>
      </c>
      <c r="D30" s="147">
        <v>0.47</v>
      </c>
      <c r="E30" s="301"/>
      <c r="F30" s="224" t="s">
        <v>3051</v>
      </c>
      <c r="AY30" s="308"/>
    </row>
    <row r="31" spans="1:51" x14ac:dyDescent="0.3">
      <c r="A31" s="377" t="s">
        <v>2995</v>
      </c>
      <c r="B31" s="181" t="s">
        <v>2966</v>
      </c>
      <c r="C31" s="183">
        <v>8.9</v>
      </c>
      <c r="D31" s="217">
        <v>0.95</v>
      </c>
      <c r="E31" s="301"/>
      <c r="F31" s="224" t="s">
        <v>3051</v>
      </c>
      <c r="AY31" s="309" t="s">
        <v>3593</v>
      </c>
    </row>
    <row r="32" spans="1:51" x14ac:dyDescent="0.3">
      <c r="A32" s="377" t="s">
        <v>2996</v>
      </c>
      <c r="B32" s="181" t="s">
        <v>2966</v>
      </c>
      <c r="C32" s="183">
        <v>27.5</v>
      </c>
      <c r="D32" s="217">
        <v>1.1299999999999999</v>
      </c>
      <c r="E32" s="301"/>
      <c r="F32" s="224" t="s">
        <v>3051</v>
      </c>
      <c r="AY32" s="309" t="s">
        <v>3603</v>
      </c>
    </row>
    <row r="33" spans="1:51" x14ac:dyDescent="0.3">
      <c r="A33" s="377" t="s">
        <v>2997</v>
      </c>
      <c r="B33" s="181" t="s">
        <v>3579</v>
      </c>
      <c r="C33" s="183">
        <v>7.06</v>
      </c>
      <c r="D33" s="303"/>
      <c r="E33" s="219">
        <v>1.33</v>
      </c>
      <c r="F33" s="224" t="s">
        <v>3051</v>
      </c>
      <c r="AY33" s="309" t="s">
        <v>3604</v>
      </c>
    </row>
    <row r="34" spans="1:51" x14ac:dyDescent="0.3">
      <c r="A34" s="377" t="s">
        <v>2998</v>
      </c>
      <c r="B34" s="181" t="s">
        <v>2961</v>
      </c>
      <c r="C34" s="183">
        <v>40.200000000000003</v>
      </c>
      <c r="D34" s="303"/>
      <c r="E34" s="301"/>
      <c r="F34" s="224" t="s">
        <v>3051</v>
      </c>
      <c r="AY34" s="308"/>
    </row>
    <row r="35" spans="1:51" x14ac:dyDescent="0.3">
      <c r="A35" s="377" t="s">
        <v>2999</v>
      </c>
      <c r="B35" s="181" t="s">
        <v>2961</v>
      </c>
      <c r="C35" s="183">
        <v>20.7</v>
      </c>
      <c r="D35" s="303"/>
      <c r="E35" s="301"/>
      <c r="F35" s="224" t="s">
        <v>3051</v>
      </c>
      <c r="AY35" s="308"/>
    </row>
    <row r="36" spans="1:51" x14ac:dyDescent="0.3">
      <c r="A36" s="377" t="s">
        <v>3000</v>
      </c>
      <c r="B36" s="181" t="s">
        <v>2961</v>
      </c>
      <c r="C36" s="183">
        <v>9.76</v>
      </c>
      <c r="D36" s="303"/>
      <c r="E36" s="301"/>
      <c r="F36" s="224" t="s">
        <v>3051</v>
      </c>
      <c r="AY36" s="308"/>
    </row>
    <row r="37" spans="1:51" x14ac:dyDescent="0.3">
      <c r="A37" s="377" t="s">
        <v>3001</v>
      </c>
      <c r="B37" s="181" t="s">
        <v>2961</v>
      </c>
      <c r="C37" s="183">
        <v>32.5</v>
      </c>
      <c r="D37" s="303"/>
      <c r="E37" s="301"/>
      <c r="F37" s="224" t="s">
        <v>3051</v>
      </c>
      <c r="AY37" s="308"/>
    </row>
    <row r="38" spans="1:51" x14ac:dyDescent="0.3">
      <c r="A38" s="377" t="s">
        <v>3002</v>
      </c>
      <c r="B38" s="181" t="s">
        <v>3579</v>
      </c>
      <c r="C38" s="217">
        <v>46.32</v>
      </c>
      <c r="D38" s="303"/>
      <c r="E38" s="185">
        <v>1.9</v>
      </c>
      <c r="F38" s="224" t="s">
        <v>3051</v>
      </c>
      <c r="AY38" s="309" t="s">
        <v>3594</v>
      </c>
    </row>
    <row r="39" spans="1:51" x14ac:dyDescent="0.3">
      <c r="A39" s="377" t="s">
        <v>3003</v>
      </c>
      <c r="B39" s="181" t="s">
        <v>2966</v>
      </c>
      <c r="C39" s="183">
        <v>43</v>
      </c>
      <c r="D39" s="217">
        <v>0.82499999999999996</v>
      </c>
      <c r="E39" s="301"/>
      <c r="F39" s="224" t="s">
        <v>3051</v>
      </c>
      <c r="AY39" s="309" t="s">
        <v>3595</v>
      </c>
    </row>
    <row r="40" spans="1:51" x14ac:dyDescent="0.3">
      <c r="A40" s="377" t="s">
        <v>3004</v>
      </c>
      <c r="B40" s="181" t="s">
        <v>3579</v>
      </c>
      <c r="C40" s="183">
        <v>49.5</v>
      </c>
      <c r="D40" s="303"/>
      <c r="E40" s="219">
        <v>0.88</v>
      </c>
      <c r="F40" s="224" t="s">
        <v>3051</v>
      </c>
      <c r="AY40" s="309" t="s">
        <v>3596</v>
      </c>
    </row>
    <row r="41" spans="1:51" x14ac:dyDescent="0.3">
      <c r="A41" s="377" t="s">
        <v>3005</v>
      </c>
      <c r="B41" s="181" t="s">
        <v>2966</v>
      </c>
      <c r="C41" s="183">
        <v>40.4</v>
      </c>
      <c r="D41" s="147">
        <v>0.94</v>
      </c>
      <c r="E41" s="301"/>
      <c r="F41" s="224" t="s">
        <v>3051</v>
      </c>
      <c r="AY41" s="308"/>
    </row>
    <row r="42" spans="1:51" x14ac:dyDescent="0.3">
      <c r="A42" s="377" t="s">
        <v>3006</v>
      </c>
      <c r="B42" s="181" t="s">
        <v>2966</v>
      </c>
      <c r="C42" s="183">
        <v>38.1</v>
      </c>
      <c r="D42" s="147">
        <v>1</v>
      </c>
      <c r="E42" s="301"/>
      <c r="F42" s="224" t="s">
        <v>3051</v>
      </c>
      <c r="AY42" s="308"/>
    </row>
    <row r="43" spans="1:51" x14ac:dyDescent="0.3">
      <c r="A43" s="377" t="s">
        <v>3007</v>
      </c>
      <c r="B43" s="181" t="s">
        <v>3579</v>
      </c>
      <c r="C43" s="183">
        <v>50.4</v>
      </c>
      <c r="D43" s="303"/>
      <c r="E43" s="185">
        <v>0.67</v>
      </c>
      <c r="F43" s="224" t="s">
        <v>3050</v>
      </c>
      <c r="AY43" s="308"/>
    </row>
    <row r="44" spans="1:51" x14ac:dyDescent="0.3">
      <c r="A44" s="377" t="s">
        <v>3008</v>
      </c>
      <c r="B44" s="181" t="s">
        <v>2961</v>
      </c>
      <c r="C44" s="183">
        <v>18.899999999999999</v>
      </c>
      <c r="D44" s="303"/>
      <c r="E44" s="301"/>
      <c r="F44" s="224" t="s">
        <v>3051</v>
      </c>
      <c r="AY44" s="308"/>
    </row>
    <row r="45" spans="1:51" x14ac:dyDescent="0.3">
      <c r="A45" s="377" t="s">
        <v>3605</v>
      </c>
      <c r="B45" s="181" t="s">
        <v>2966</v>
      </c>
      <c r="C45" s="183">
        <v>11.8</v>
      </c>
      <c r="D45" s="217">
        <v>1.2</v>
      </c>
      <c r="E45" s="301"/>
      <c r="F45" s="224" t="s">
        <v>3050</v>
      </c>
      <c r="AY45" s="309" t="s">
        <v>3597</v>
      </c>
    </row>
    <row r="46" spans="1:51" x14ac:dyDescent="0.3">
      <c r="A46" s="377" t="s">
        <v>3009</v>
      </c>
      <c r="B46" s="181" t="s">
        <v>2966</v>
      </c>
      <c r="C46" s="217">
        <v>44.4</v>
      </c>
      <c r="D46" s="147">
        <v>0.87</v>
      </c>
      <c r="E46" s="301"/>
      <c r="F46" s="224" t="s">
        <v>3050</v>
      </c>
      <c r="AY46" s="309" t="s">
        <v>3598</v>
      </c>
    </row>
    <row r="47" spans="1:51" x14ac:dyDescent="0.3">
      <c r="A47" s="377" t="s">
        <v>3010</v>
      </c>
      <c r="B47" s="181" t="s">
        <v>2966</v>
      </c>
      <c r="C47" s="217">
        <v>37.799999999999997</v>
      </c>
      <c r="D47" s="147">
        <v>0.9</v>
      </c>
      <c r="E47" s="301"/>
      <c r="F47" s="224" t="s">
        <v>3051</v>
      </c>
      <c r="AY47" s="309" t="s">
        <v>3599</v>
      </c>
    </row>
    <row r="48" spans="1:51" x14ac:dyDescent="0.3">
      <c r="A48" s="377" t="s">
        <v>3011</v>
      </c>
      <c r="B48" s="181" t="s">
        <v>2966</v>
      </c>
      <c r="C48" s="183">
        <v>40.200000000000003</v>
      </c>
      <c r="D48" s="217">
        <v>0.8</v>
      </c>
      <c r="E48" s="301"/>
      <c r="F48" s="224" t="s">
        <v>3051</v>
      </c>
      <c r="AY48" s="309" t="s">
        <v>3600</v>
      </c>
    </row>
    <row r="49" spans="1:51" x14ac:dyDescent="0.3">
      <c r="A49" s="377" t="s">
        <v>3012</v>
      </c>
      <c r="B49" s="181" t="s">
        <v>3579</v>
      </c>
      <c r="C49" s="217">
        <v>35</v>
      </c>
      <c r="D49" s="303"/>
      <c r="E49" s="185">
        <v>0.9</v>
      </c>
      <c r="F49" s="224" t="s">
        <v>3050</v>
      </c>
      <c r="AY49" s="309" t="s">
        <v>3601</v>
      </c>
    </row>
    <row r="50" spans="1:51" x14ac:dyDescent="0.3">
      <c r="A50" s="377" t="s">
        <v>3013</v>
      </c>
      <c r="B50" s="181" t="s">
        <v>2966</v>
      </c>
      <c r="C50" s="183">
        <v>40.200000000000003</v>
      </c>
      <c r="D50" s="217">
        <v>0.75</v>
      </c>
      <c r="E50" s="301"/>
      <c r="F50" s="224" t="s">
        <v>3051</v>
      </c>
      <c r="AY50" s="309" t="s">
        <v>3602</v>
      </c>
    </row>
    <row r="51" spans="1:51" x14ac:dyDescent="0.3">
      <c r="A51" s="379" t="s">
        <v>3014</v>
      </c>
      <c r="B51" s="181" t="s">
        <v>2961</v>
      </c>
      <c r="C51" s="187">
        <v>15.6</v>
      </c>
      <c r="D51" s="305"/>
      <c r="E51" s="306"/>
      <c r="F51" s="224" t="s">
        <v>3050</v>
      </c>
      <c r="AY51" s="308"/>
    </row>
    <row r="52" spans="1:51" x14ac:dyDescent="0.3">
      <c r="A52" s="188" t="s">
        <v>3076</v>
      </c>
      <c r="B52" s="189"/>
      <c r="C52" s="189"/>
      <c r="D52" s="189"/>
      <c r="E52" s="220"/>
      <c r="F52" s="189"/>
      <c r="AY52" s="308"/>
    </row>
    <row r="53" spans="1:51" x14ac:dyDescent="0.3">
      <c r="A53" s="188" t="s">
        <v>3077</v>
      </c>
      <c r="B53" s="189"/>
      <c r="C53" s="189"/>
      <c r="D53" s="189"/>
      <c r="E53" s="220"/>
      <c r="F53" s="189"/>
      <c r="AY53" s="308"/>
    </row>
    <row r="54" spans="1:51" x14ac:dyDescent="0.3">
      <c r="A54" s="188" t="s">
        <v>3078</v>
      </c>
      <c r="B54" s="189"/>
      <c r="C54" s="189"/>
      <c r="D54" s="189"/>
      <c r="E54" s="220"/>
      <c r="F54" s="189"/>
      <c r="AY54" s="308"/>
    </row>
    <row r="55" spans="1:51" x14ac:dyDescent="0.3">
      <c r="A55" s="188" t="s">
        <v>3079</v>
      </c>
      <c r="B55" s="189"/>
      <c r="C55" s="189"/>
      <c r="D55" s="189"/>
      <c r="E55" s="220"/>
      <c r="F55" s="189"/>
      <c r="AY55" s="308"/>
    </row>
    <row r="56" spans="1:51" x14ac:dyDescent="0.3">
      <c r="A56" s="188" t="s">
        <v>3080</v>
      </c>
      <c r="B56" s="189"/>
      <c r="C56" s="189"/>
      <c r="D56" s="189"/>
      <c r="E56" s="220"/>
      <c r="F56" s="189"/>
      <c r="AY56" s="308"/>
    </row>
    <row r="57" spans="1:51" x14ac:dyDescent="0.3">
      <c r="A57" s="188" t="s">
        <v>3081</v>
      </c>
      <c r="B57" s="189"/>
      <c r="C57" s="189"/>
      <c r="D57" s="189"/>
      <c r="E57" s="220"/>
      <c r="F57" s="189"/>
      <c r="AY57" s="308"/>
    </row>
    <row r="58" spans="1:51" x14ac:dyDescent="0.3">
      <c r="A58" s="188" t="s">
        <v>3082</v>
      </c>
      <c r="B58" s="189"/>
      <c r="C58" s="189"/>
      <c r="D58" s="189"/>
      <c r="E58" s="220"/>
      <c r="F58" s="189"/>
      <c r="AY58" s="308"/>
    </row>
    <row r="59" spans="1:51" x14ac:dyDescent="0.3">
      <c r="A59" s="188" t="s">
        <v>3083</v>
      </c>
      <c r="B59" s="189"/>
      <c r="C59" s="189"/>
      <c r="D59" s="189"/>
      <c r="E59" s="220"/>
      <c r="F59" s="189"/>
      <c r="AY59" s="308"/>
    </row>
    <row r="60" spans="1:51" x14ac:dyDescent="0.3">
      <c r="A60" s="188" t="s">
        <v>3084</v>
      </c>
      <c r="B60" s="189"/>
      <c r="C60" s="189"/>
      <c r="D60" s="189"/>
      <c r="E60" s="220"/>
      <c r="F60" s="189"/>
      <c r="AY60" s="308"/>
    </row>
    <row r="61" spans="1:51" ht="15" thickBot="1" x14ac:dyDescent="0.35">
      <c r="A61" s="225" t="s">
        <v>3085</v>
      </c>
      <c r="B61" s="189"/>
      <c r="C61" s="226"/>
      <c r="D61" s="226"/>
      <c r="E61" s="227"/>
      <c r="F61" s="189"/>
      <c r="AY61" s="308"/>
    </row>
    <row r="62" spans="1:51" x14ac:dyDescent="0.3">
      <c r="A62" s="1204" t="s">
        <v>3583</v>
      </c>
      <c r="B62" s="1205"/>
      <c r="C62" s="1205"/>
      <c r="D62" s="1205"/>
      <c r="E62" s="1205"/>
      <c r="F62" s="1205"/>
      <c r="G62" s="1205"/>
      <c r="H62" s="1205"/>
      <c r="I62" s="1205"/>
      <c r="J62" s="1205"/>
      <c r="K62" s="1205"/>
      <c r="L62" s="1205"/>
      <c r="M62" s="1205"/>
      <c r="N62" s="1205"/>
      <c r="O62" s="1205"/>
      <c r="P62" s="1205"/>
      <c r="Q62" s="1205"/>
      <c r="R62" s="1205"/>
      <c r="S62" s="1205"/>
      <c r="T62" s="1205"/>
      <c r="U62" s="1205"/>
      <c r="V62" s="1205"/>
      <c r="W62" s="1205"/>
      <c r="X62" s="1205"/>
      <c r="Y62" s="1205"/>
      <c r="Z62" s="1205"/>
      <c r="AA62" s="1205"/>
      <c r="AB62" s="1205"/>
      <c r="AC62" s="1205"/>
      <c r="AD62" s="1205"/>
      <c r="AE62" s="1205"/>
      <c r="AF62" s="1205"/>
      <c r="AG62" s="1205"/>
      <c r="AH62" s="1205"/>
      <c r="AI62" s="1205"/>
      <c r="AJ62" s="1205"/>
      <c r="AK62" s="1205"/>
      <c r="AL62" s="1205"/>
      <c r="AM62" s="1205"/>
      <c r="AN62" s="1205"/>
      <c r="AO62" s="1205"/>
      <c r="AP62" s="1205"/>
      <c r="AQ62" s="1205"/>
      <c r="AR62" s="1205"/>
      <c r="AS62" s="1205"/>
      <c r="AT62" s="1205"/>
      <c r="AU62" s="1205"/>
      <c r="AV62" s="1205"/>
      <c r="AW62" s="1205"/>
      <c r="AX62" s="1205"/>
      <c r="AY62" s="1206"/>
    </row>
    <row r="63" spans="1:51" ht="43.95" customHeight="1" x14ac:dyDescent="0.3">
      <c r="A63" s="1207" t="s">
        <v>3616</v>
      </c>
      <c r="B63" s="1208"/>
      <c r="C63" s="1208"/>
      <c r="D63" s="1208"/>
      <c r="E63" s="1208"/>
      <c r="F63" s="1208"/>
      <c r="G63" s="1208"/>
      <c r="H63" s="1208"/>
      <c r="I63" s="1208"/>
      <c r="J63" s="1208"/>
      <c r="K63" s="1208"/>
      <c r="L63" s="1208"/>
      <c r="M63" s="1208"/>
      <c r="N63" s="1208"/>
      <c r="O63" s="1208"/>
      <c r="P63" s="1208"/>
      <c r="Q63" s="1208"/>
      <c r="R63" s="1208"/>
      <c r="S63" s="1208"/>
      <c r="T63" s="1208"/>
      <c r="U63" s="1208"/>
      <c r="V63" s="1208"/>
      <c r="W63" s="1208"/>
      <c r="X63" s="1208"/>
      <c r="Y63" s="1208"/>
      <c r="Z63" s="1208"/>
      <c r="AA63" s="1208"/>
      <c r="AB63" s="1208"/>
      <c r="AC63" s="1208"/>
      <c r="AD63" s="1208"/>
      <c r="AE63" s="1208"/>
      <c r="AF63" s="1208"/>
      <c r="AG63" s="1208"/>
      <c r="AH63" s="1208"/>
      <c r="AI63" s="1208"/>
      <c r="AJ63" s="1208"/>
      <c r="AK63" s="1208"/>
      <c r="AL63" s="1208"/>
      <c r="AM63" s="1208"/>
      <c r="AN63" s="1208"/>
      <c r="AO63" s="1208"/>
      <c r="AP63" s="1208"/>
      <c r="AQ63" s="1208"/>
      <c r="AR63" s="1208"/>
      <c r="AS63" s="1208"/>
      <c r="AT63" s="1208"/>
      <c r="AU63" s="1208"/>
      <c r="AV63" s="1208"/>
      <c r="AW63" s="1208"/>
      <c r="AX63" s="1208"/>
      <c r="AY63" s="1209"/>
    </row>
    <row r="64" spans="1:51" x14ac:dyDescent="0.3">
      <c r="A64" s="1210" t="s">
        <v>3617</v>
      </c>
      <c r="B64" s="1211"/>
      <c r="C64" s="1211"/>
      <c r="D64" s="1211"/>
      <c r="E64" s="1211"/>
      <c r="F64" s="1211"/>
      <c r="G64" s="1211"/>
      <c r="H64" s="1211"/>
      <c r="I64" s="1211"/>
      <c r="J64" s="1211"/>
      <c r="K64" s="1211"/>
      <c r="L64" s="1211"/>
      <c r="M64" s="1211"/>
      <c r="N64" s="1211"/>
      <c r="O64" s="1211"/>
      <c r="P64" s="1211"/>
      <c r="Q64" s="1211"/>
      <c r="R64" s="1211"/>
      <c r="S64" s="1211"/>
      <c r="T64" s="1211"/>
      <c r="U64" s="1211"/>
      <c r="V64" s="1211"/>
      <c r="W64" s="1211"/>
      <c r="X64" s="1211"/>
      <c r="Y64" s="1211"/>
      <c r="Z64" s="1211"/>
      <c r="AA64" s="1211"/>
      <c r="AB64" s="1211"/>
      <c r="AC64" s="1211"/>
      <c r="AD64" s="1211"/>
      <c r="AE64" s="1211"/>
      <c r="AF64" s="1211"/>
      <c r="AG64" s="1211"/>
      <c r="AH64" s="1211"/>
      <c r="AI64" s="1211"/>
      <c r="AJ64" s="1211"/>
      <c r="AK64" s="1211"/>
      <c r="AL64" s="1211"/>
      <c r="AM64" s="1211"/>
      <c r="AN64" s="1211"/>
      <c r="AO64" s="1211"/>
      <c r="AP64" s="1211"/>
      <c r="AQ64" s="1211"/>
      <c r="AR64" s="1211"/>
      <c r="AS64" s="1211"/>
      <c r="AT64" s="1211"/>
      <c r="AU64" s="1211"/>
      <c r="AV64" s="1211"/>
      <c r="AW64" s="1211"/>
      <c r="AX64" s="1211"/>
      <c r="AY64" s="1212"/>
    </row>
    <row r="65" spans="1:51" x14ac:dyDescent="0.3">
      <c r="A65" s="1201" t="s">
        <v>3584</v>
      </c>
      <c r="B65" s="1202"/>
      <c r="C65" s="1202"/>
      <c r="D65" s="1202"/>
      <c r="E65" s="1202"/>
      <c r="F65" s="1202"/>
      <c r="G65" s="1202"/>
      <c r="H65" s="1202"/>
      <c r="I65" s="1202"/>
      <c r="J65" s="1202"/>
      <c r="K65" s="1202"/>
      <c r="L65" s="1202"/>
      <c r="M65" s="1202"/>
      <c r="N65" s="1202"/>
      <c r="O65" s="1202"/>
      <c r="P65" s="1202"/>
      <c r="Q65" s="1202"/>
      <c r="R65" s="1202"/>
      <c r="S65" s="1202"/>
      <c r="T65" s="1202"/>
      <c r="U65" s="1202"/>
      <c r="V65" s="1202"/>
      <c r="W65" s="1202"/>
      <c r="X65" s="1202"/>
      <c r="Y65" s="1202"/>
      <c r="Z65" s="1202"/>
      <c r="AA65" s="1202"/>
      <c r="AB65" s="1202"/>
      <c r="AC65" s="1202"/>
      <c r="AD65" s="1202"/>
      <c r="AE65" s="1202"/>
      <c r="AF65" s="1202"/>
      <c r="AG65" s="1202"/>
      <c r="AH65" s="1202"/>
      <c r="AI65" s="1202"/>
      <c r="AJ65" s="1202"/>
      <c r="AK65" s="1202"/>
      <c r="AL65" s="1202"/>
      <c r="AM65" s="1202"/>
      <c r="AN65" s="1202"/>
      <c r="AO65" s="1202"/>
      <c r="AP65" s="1202"/>
      <c r="AQ65" s="1202"/>
      <c r="AR65" s="1202"/>
      <c r="AS65" s="1202"/>
      <c r="AT65" s="1202"/>
      <c r="AU65" s="1202"/>
      <c r="AV65" s="1202"/>
      <c r="AW65" s="1202"/>
      <c r="AX65" s="1202"/>
      <c r="AY65" s="1203"/>
    </row>
    <row r="66" spans="1:51" x14ac:dyDescent="0.3">
      <c r="A66" s="1180" t="s">
        <v>3618</v>
      </c>
      <c r="B66" s="1181"/>
      <c r="C66" s="1181"/>
      <c r="D66" s="1181"/>
      <c r="E66" s="1181"/>
      <c r="F66" s="1181"/>
      <c r="G66" s="1181"/>
      <c r="H66" s="1181"/>
      <c r="I66" s="1181"/>
      <c r="J66" s="1181"/>
      <c r="K66" s="1181"/>
      <c r="L66" s="1181"/>
      <c r="M66" s="1181"/>
      <c r="N66" s="1181"/>
      <c r="O66" s="1181"/>
      <c r="P66" s="1181"/>
      <c r="Q66" s="1181"/>
      <c r="R66" s="1181"/>
      <c r="S66" s="1181"/>
      <c r="T66" s="1181"/>
      <c r="U66" s="1181"/>
      <c r="V66" s="1181"/>
      <c r="W66" s="1181"/>
      <c r="X66" s="1181"/>
      <c r="Y66" s="1181"/>
      <c r="Z66" s="1181"/>
      <c r="AA66" s="1181"/>
      <c r="AB66" s="1181"/>
      <c r="AC66" s="1181"/>
      <c r="AD66" s="1181"/>
      <c r="AE66" s="1181"/>
      <c r="AF66" s="1181"/>
      <c r="AG66" s="1181"/>
      <c r="AH66" s="1181"/>
      <c r="AI66" s="1181"/>
      <c r="AJ66" s="1181"/>
      <c r="AK66" s="1181"/>
      <c r="AL66" s="1181"/>
      <c r="AM66" s="1181"/>
      <c r="AN66" s="1181"/>
      <c r="AO66" s="1181"/>
      <c r="AP66" s="1181"/>
      <c r="AQ66" s="1181"/>
      <c r="AR66" s="1181"/>
      <c r="AS66" s="1181"/>
      <c r="AT66" s="1181"/>
      <c r="AU66" s="1181"/>
      <c r="AV66" s="1181"/>
      <c r="AW66" s="1181"/>
      <c r="AX66" s="1181"/>
      <c r="AY66" s="1182"/>
    </row>
    <row r="67" spans="1:51" x14ac:dyDescent="0.3">
      <c r="A67" s="1183" t="s">
        <v>3619</v>
      </c>
      <c r="B67" s="1199"/>
      <c r="C67" s="1199"/>
      <c r="D67" s="1199"/>
      <c r="E67" s="1199"/>
      <c r="F67" s="1199"/>
      <c r="G67" s="1199"/>
      <c r="H67" s="1199"/>
      <c r="I67" s="1199"/>
      <c r="J67" s="1199"/>
      <c r="K67" s="1199"/>
      <c r="L67" s="1199"/>
      <c r="M67" s="1199"/>
      <c r="N67" s="1199"/>
      <c r="O67" s="1199"/>
      <c r="P67" s="1199"/>
      <c r="Q67" s="1199"/>
      <c r="R67" s="1199"/>
      <c r="S67" s="1199"/>
      <c r="T67" s="1199"/>
      <c r="U67" s="1199"/>
      <c r="V67" s="1199"/>
      <c r="W67" s="1199"/>
      <c r="X67" s="1199"/>
      <c r="Y67" s="1199"/>
      <c r="Z67" s="1199"/>
      <c r="AA67" s="1199"/>
      <c r="AB67" s="1199"/>
      <c r="AC67" s="1199"/>
      <c r="AD67" s="1199"/>
      <c r="AE67" s="1199"/>
      <c r="AF67" s="1199"/>
      <c r="AG67" s="1199"/>
      <c r="AH67" s="1199"/>
      <c r="AI67" s="1199"/>
      <c r="AJ67" s="1199"/>
      <c r="AK67" s="1199"/>
      <c r="AL67" s="1199"/>
      <c r="AM67" s="1199"/>
      <c r="AN67" s="1199"/>
      <c r="AO67" s="1199"/>
      <c r="AP67" s="1199"/>
      <c r="AQ67" s="1199"/>
      <c r="AR67" s="1199"/>
      <c r="AS67" s="1199"/>
      <c r="AT67" s="1199"/>
      <c r="AU67" s="1199"/>
      <c r="AV67" s="1199"/>
      <c r="AW67" s="1199"/>
      <c r="AX67" s="1199"/>
      <c r="AY67" s="1200"/>
    </row>
    <row r="68" spans="1:51" x14ac:dyDescent="0.3">
      <c r="A68" s="1180" t="s">
        <v>3620</v>
      </c>
      <c r="B68" s="1181"/>
      <c r="C68" s="1181"/>
      <c r="D68" s="1181"/>
      <c r="E68" s="1181"/>
      <c r="F68" s="1181"/>
      <c r="G68" s="1181"/>
      <c r="H68" s="1181"/>
      <c r="I68" s="1181"/>
      <c r="J68" s="1181"/>
      <c r="K68" s="1181"/>
      <c r="L68" s="1181"/>
      <c r="M68" s="1181"/>
      <c r="N68" s="1181"/>
      <c r="O68" s="1181"/>
      <c r="P68" s="1181"/>
      <c r="Q68" s="1181"/>
      <c r="R68" s="1181"/>
      <c r="S68" s="1181"/>
      <c r="T68" s="1181"/>
      <c r="U68" s="1181"/>
      <c r="V68" s="1181"/>
      <c r="W68" s="1181"/>
      <c r="X68" s="1181"/>
      <c r="Y68" s="1181"/>
      <c r="Z68" s="1181"/>
      <c r="AA68" s="1181"/>
      <c r="AB68" s="1181"/>
      <c r="AC68" s="1181"/>
      <c r="AD68" s="1181"/>
      <c r="AE68" s="1181"/>
      <c r="AF68" s="1181"/>
      <c r="AG68" s="1181"/>
      <c r="AH68" s="1181"/>
      <c r="AI68" s="1181"/>
      <c r="AJ68" s="1181"/>
      <c r="AK68" s="1181"/>
      <c r="AL68" s="1181"/>
      <c r="AM68" s="1181"/>
      <c r="AN68" s="1181"/>
      <c r="AO68" s="1181"/>
      <c r="AP68" s="1181"/>
      <c r="AQ68" s="1181"/>
      <c r="AR68" s="1181"/>
      <c r="AS68" s="1181"/>
      <c r="AT68" s="1181"/>
      <c r="AU68" s="1181"/>
      <c r="AV68" s="1181"/>
      <c r="AW68" s="1181"/>
      <c r="AX68" s="1181"/>
      <c r="AY68" s="1182"/>
    </row>
    <row r="69" spans="1:51" x14ac:dyDescent="0.3">
      <c r="A69" s="1183" t="s">
        <v>3621</v>
      </c>
      <c r="B69" s="1199"/>
      <c r="C69" s="1199"/>
      <c r="D69" s="1199"/>
      <c r="E69" s="1199"/>
      <c r="F69" s="1199"/>
      <c r="G69" s="1199"/>
      <c r="H69" s="1199"/>
      <c r="I69" s="1199"/>
      <c r="J69" s="1199"/>
      <c r="K69" s="1199"/>
      <c r="L69" s="1199"/>
      <c r="M69" s="1199"/>
      <c r="N69" s="1199"/>
      <c r="O69" s="1199"/>
      <c r="P69" s="1199"/>
      <c r="Q69" s="1199"/>
      <c r="R69" s="1199"/>
      <c r="S69" s="1199"/>
      <c r="T69" s="1199"/>
      <c r="U69" s="1199"/>
      <c r="V69" s="1199"/>
      <c r="W69" s="1199"/>
      <c r="X69" s="1199"/>
      <c r="Y69" s="1199"/>
      <c r="Z69" s="1199"/>
      <c r="AA69" s="1199"/>
      <c r="AB69" s="1199"/>
      <c r="AC69" s="1199"/>
      <c r="AD69" s="1199"/>
      <c r="AE69" s="1199"/>
      <c r="AF69" s="1199"/>
      <c r="AG69" s="1199"/>
      <c r="AH69" s="1199"/>
      <c r="AI69" s="1199"/>
      <c r="AJ69" s="1199"/>
      <c r="AK69" s="1199"/>
      <c r="AL69" s="1199"/>
      <c r="AM69" s="1199"/>
      <c r="AN69" s="1199"/>
      <c r="AO69" s="1199"/>
      <c r="AP69" s="1199"/>
      <c r="AQ69" s="1199"/>
      <c r="AR69" s="1199"/>
      <c r="AS69" s="1199"/>
      <c r="AT69" s="1199"/>
      <c r="AU69" s="1199"/>
      <c r="AV69" s="1199"/>
      <c r="AW69" s="1199"/>
      <c r="AX69" s="1199"/>
      <c r="AY69" s="1200"/>
    </row>
    <row r="70" spans="1:51" x14ac:dyDescent="0.3">
      <c r="A70" s="1180" t="s">
        <v>3622</v>
      </c>
      <c r="B70" s="1181"/>
      <c r="C70" s="1181"/>
      <c r="D70" s="1181"/>
      <c r="E70" s="1181"/>
      <c r="F70" s="1181"/>
      <c r="G70" s="1181"/>
      <c r="H70" s="1181"/>
      <c r="I70" s="1181"/>
      <c r="J70" s="1181"/>
      <c r="K70" s="1181"/>
      <c r="L70" s="1181"/>
      <c r="M70" s="1181"/>
      <c r="N70" s="1181"/>
      <c r="O70" s="1181"/>
      <c r="P70" s="1181"/>
      <c r="Q70" s="1181"/>
      <c r="R70" s="1181"/>
      <c r="S70" s="1181"/>
      <c r="T70" s="1181"/>
      <c r="U70" s="1181"/>
      <c r="V70" s="1181"/>
      <c r="W70" s="1181"/>
      <c r="X70" s="1181"/>
      <c r="Y70" s="1181"/>
      <c r="Z70" s="1181"/>
      <c r="AA70" s="1181"/>
      <c r="AB70" s="1181"/>
      <c r="AC70" s="1181"/>
      <c r="AD70" s="1181"/>
      <c r="AE70" s="1181"/>
      <c r="AF70" s="1181"/>
      <c r="AG70" s="1181"/>
      <c r="AH70" s="1181"/>
      <c r="AI70" s="1181"/>
      <c r="AJ70" s="1181"/>
      <c r="AK70" s="1181"/>
      <c r="AL70" s="1181"/>
      <c r="AM70" s="1181"/>
      <c r="AN70" s="1181"/>
      <c r="AO70" s="1181"/>
      <c r="AP70" s="1181"/>
      <c r="AQ70" s="1181"/>
      <c r="AR70" s="1181"/>
      <c r="AS70" s="1181"/>
      <c r="AT70" s="1181"/>
      <c r="AU70" s="1181"/>
      <c r="AV70" s="1181"/>
      <c r="AW70" s="1181"/>
      <c r="AX70" s="1181"/>
      <c r="AY70" s="1182"/>
    </row>
    <row r="71" spans="1:51" x14ac:dyDescent="0.3">
      <c r="A71" s="1183" t="s">
        <v>3623</v>
      </c>
      <c r="B71" s="1199"/>
      <c r="C71" s="1199"/>
      <c r="D71" s="1199"/>
      <c r="E71" s="1199"/>
      <c r="F71" s="1199"/>
      <c r="G71" s="1199"/>
      <c r="H71" s="1199"/>
      <c r="I71" s="1199"/>
      <c r="J71" s="1199"/>
      <c r="K71" s="1199"/>
      <c r="L71" s="1199"/>
      <c r="M71" s="1199"/>
      <c r="N71" s="1199"/>
      <c r="O71" s="1199"/>
      <c r="P71" s="1199"/>
      <c r="Q71" s="1199"/>
      <c r="R71" s="1199"/>
      <c r="S71" s="1199"/>
      <c r="T71" s="1199"/>
      <c r="U71" s="1199"/>
      <c r="V71" s="1199"/>
      <c r="W71" s="1199"/>
      <c r="X71" s="1199"/>
      <c r="Y71" s="1199"/>
      <c r="Z71" s="1199"/>
      <c r="AA71" s="1199"/>
      <c r="AB71" s="1199"/>
      <c r="AC71" s="1199"/>
      <c r="AD71" s="1199"/>
      <c r="AE71" s="1199"/>
      <c r="AF71" s="1199"/>
      <c r="AG71" s="1199"/>
      <c r="AH71" s="1199"/>
      <c r="AI71" s="1199"/>
      <c r="AJ71" s="1199"/>
      <c r="AK71" s="1199"/>
      <c r="AL71" s="1199"/>
      <c r="AM71" s="1199"/>
      <c r="AN71" s="1199"/>
      <c r="AO71" s="1199"/>
      <c r="AP71" s="1199"/>
      <c r="AQ71" s="1199"/>
      <c r="AR71" s="1199"/>
      <c r="AS71" s="1199"/>
      <c r="AT71" s="1199"/>
      <c r="AU71" s="1199"/>
      <c r="AV71" s="1199"/>
      <c r="AW71" s="1199"/>
      <c r="AX71" s="1199"/>
      <c r="AY71" s="1200"/>
    </row>
    <row r="72" spans="1:51" x14ac:dyDescent="0.3">
      <c r="A72" s="1180" t="s">
        <v>3624</v>
      </c>
      <c r="B72" s="1181"/>
      <c r="C72" s="1181"/>
      <c r="D72" s="1181"/>
      <c r="E72" s="1181"/>
      <c r="F72" s="1181"/>
      <c r="G72" s="1181"/>
      <c r="H72" s="1181"/>
      <c r="I72" s="1181"/>
      <c r="J72" s="1181"/>
      <c r="K72" s="1181"/>
      <c r="L72" s="1181"/>
      <c r="M72" s="1181"/>
      <c r="N72" s="1181"/>
      <c r="O72" s="1181"/>
      <c r="P72" s="1181"/>
      <c r="Q72" s="1181"/>
      <c r="R72" s="1181"/>
      <c r="S72" s="1181"/>
      <c r="T72" s="1181"/>
      <c r="U72" s="1181"/>
      <c r="V72" s="1181"/>
      <c r="W72" s="1181"/>
      <c r="X72" s="1181"/>
      <c r="Y72" s="1181"/>
      <c r="Z72" s="1181"/>
      <c r="AA72" s="1181"/>
      <c r="AB72" s="1181"/>
      <c r="AC72" s="1181"/>
      <c r="AD72" s="1181"/>
      <c r="AE72" s="1181"/>
      <c r="AF72" s="1181"/>
      <c r="AG72" s="1181"/>
      <c r="AH72" s="1181"/>
      <c r="AI72" s="1181"/>
      <c r="AJ72" s="1181"/>
      <c r="AK72" s="1181"/>
      <c r="AL72" s="1181"/>
      <c r="AM72" s="1181"/>
      <c r="AN72" s="1181"/>
      <c r="AO72" s="1181"/>
      <c r="AP72" s="1181"/>
      <c r="AQ72" s="1181"/>
      <c r="AR72" s="1181"/>
      <c r="AS72" s="1181"/>
      <c r="AT72" s="1181"/>
      <c r="AU72" s="1181"/>
      <c r="AV72" s="1181"/>
      <c r="AW72" s="1181"/>
      <c r="AX72" s="1181"/>
      <c r="AY72" s="1182"/>
    </row>
    <row r="73" spans="1:51" x14ac:dyDescent="0.3">
      <c r="A73" s="1183" t="s">
        <v>3625</v>
      </c>
      <c r="B73" s="1199"/>
      <c r="C73" s="1199"/>
      <c r="D73" s="1199"/>
      <c r="E73" s="1199"/>
      <c r="F73" s="1199"/>
      <c r="G73" s="1199"/>
      <c r="H73" s="1199"/>
      <c r="I73" s="1199"/>
      <c r="J73" s="1199"/>
      <c r="K73" s="1199"/>
      <c r="L73" s="1199"/>
      <c r="M73" s="1199"/>
      <c r="N73" s="1199"/>
      <c r="O73" s="1199"/>
      <c r="P73" s="1199"/>
      <c r="Q73" s="1199"/>
      <c r="R73" s="1199"/>
      <c r="S73" s="1199"/>
      <c r="T73" s="1199"/>
      <c r="U73" s="1199"/>
      <c r="V73" s="1199"/>
      <c r="W73" s="1199"/>
      <c r="X73" s="1199"/>
      <c r="Y73" s="1199"/>
      <c r="Z73" s="1199"/>
      <c r="AA73" s="1199"/>
      <c r="AB73" s="1199"/>
      <c r="AC73" s="1199"/>
      <c r="AD73" s="1199"/>
      <c r="AE73" s="1199"/>
      <c r="AF73" s="1199"/>
      <c r="AG73" s="1199"/>
      <c r="AH73" s="1199"/>
      <c r="AI73" s="1199"/>
      <c r="AJ73" s="1199"/>
      <c r="AK73" s="1199"/>
      <c r="AL73" s="1199"/>
      <c r="AM73" s="1199"/>
      <c r="AN73" s="1199"/>
      <c r="AO73" s="1199"/>
      <c r="AP73" s="1199"/>
      <c r="AQ73" s="1199"/>
      <c r="AR73" s="1199"/>
      <c r="AS73" s="1199"/>
      <c r="AT73" s="1199"/>
      <c r="AU73" s="1199"/>
      <c r="AV73" s="1199"/>
      <c r="AW73" s="1199"/>
      <c r="AX73" s="1199"/>
      <c r="AY73" s="1200"/>
    </row>
    <row r="74" spans="1:51" x14ac:dyDescent="0.3">
      <c r="A74" s="1180" t="s">
        <v>3626</v>
      </c>
      <c r="B74" s="1181"/>
      <c r="C74" s="1181"/>
      <c r="D74" s="1181"/>
      <c r="E74" s="1181"/>
      <c r="F74" s="1181"/>
      <c r="G74" s="1181"/>
      <c r="H74" s="1181"/>
      <c r="I74" s="1181"/>
      <c r="J74" s="1181"/>
      <c r="K74" s="1181"/>
      <c r="L74" s="1181"/>
      <c r="M74" s="1181"/>
      <c r="N74" s="1181"/>
      <c r="O74" s="1181"/>
      <c r="P74" s="1181"/>
      <c r="Q74" s="1181"/>
      <c r="R74" s="1181"/>
      <c r="S74" s="1181"/>
      <c r="T74" s="1181"/>
      <c r="U74" s="1181"/>
      <c r="V74" s="1181"/>
      <c r="W74" s="1181"/>
      <c r="X74" s="1181"/>
      <c r="Y74" s="1181"/>
      <c r="Z74" s="1181"/>
      <c r="AA74" s="1181"/>
      <c r="AB74" s="1181"/>
      <c r="AC74" s="1181"/>
      <c r="AD74" s="1181"/>
      <c r="AE74" s="1181"/>
      <c r="AF74" s="1181"/>
      <c r="AG74" s="1181"/>
      <c r="AH74" s="1181"/>
      <c r="AI74" s="1181"/>
      <c r="AJ74" s="1181"/>
      <c r="AK74" s="1181"/>
      <c r="AL74" s="1181"/>
      <c r="AM74" s="1181"/>
      <c r="AN74" s="1181"/>
      <c r="AO74" s="1181"/>
      <c r="AP74" s="1181"/>
      <c r="AQ74" s="1181"/>
      <c r="AR74" s="1181"/>
      <c r="AS74" s="1181"/>
      <c r="AT74" s="1181"/>
      <c r="AU74" s="1181"/>
      <c r="AV74" s="1181"/>
      <c r="AW74" s="1181"/>
      <c r="AX74" s="1181"/>
      <c r="AY74" s="1182"/>
    </row>
    <row r="75" spans="1:51" x14ac:dyDescent="0.3">
      <c r="A75" s="1183" t="s">
        <v>3627</v>
      </c>
      <c r="B75" s="1199"/>
      <c r="C75" s="1199"/>
      <c r="D75" s="1199"/>
      <c r="E75" s="1199"/>
      <c r="F75" s="1199"/>
      <c r="G75" s="1199"/>
      <c r="H75" s="1199"/>
      <c r="I75" s="1199"/>
      <c r="J75" s="1199"/>
      <c r="K75" s="1199"/>
      <c r="L75" s="1199"/>
      <c r="M75" s="1199"/>
      <c r="N75" s="1199"/>
      <c r="O75" s="1199"/>
      <c r="P75" s="1199"/>
      <c r="Q75" s="1199"/>
      <c r="R75" s="1199"/>
      <c r="S75" s="1199"/>
      <c r="T75" s="1199"/>
      <c r="U75" s="1199"/>
      <c r="V75" s="1199"/>
      <c r="W75" s="1199"/>
      <c r="X75" s="1199"/>
      <c r="Y75" s="1199"/>
      <c r="Z75" s="1199"/>
      <c r="AA75" s="1199"/>
      <c r="AB75" s="1199"/>
      <c r="AC75" s="1199"/>
      <c r="AD75" s="1199"/>
      <c r="AE75" s="1199"/>
      <c r="AF75" s="1199"/>
      <c r="AG75" s="1199"/>
      <c r="AH75" s="1199"/>
      <c r="AI75" s="1199"/>
      <c r="AJ75" s="1199"/>
      <c r="AK75" s="1199"/>
      <c r="AL75" s="1199"/>
      <c r="AM75" s="1199"/>
      <c r="AN75" s="1199"/>
      <c r="AO75" s="1199"/>
      <c r="AP75" s="1199"/>
      <c r="AQ75" s="1199"/>
      <c r="AR75" s="1199"/>
      <c r="AS75" s="1199"/>
      <c r="AT75" s="1199"/>
      <c r="AU75" s="1199"/>
      <c r="AV75" s="1199"/>
      <c r="AW75" s="1199"/>
      <c r="AX75" s="1199"/>
      <c r="AY75" s="1200"/>
    </row>
    <row r="76" spans="1:51" x14ac:dyDescent="0.3">
      <c r="A76" s="1221" t="s">
        <v>3628</v>
      </c>
      <c r="B76" s="1222"/>
      <c r="C76" s="1222"/>
      <c r="D76" s="1222"/>
      <c r="E76" s="1222"/>
      <c r="F76" s="1222"/>
      <c r="G76" s="1222"/>
      <c r="H76" s="1222"/>
      <c r="I76" s="1222"/>
      <c r="J76" s="1222"/>
      <c r="K76" s="1222"/>
      <c r="L76" s="1222"/>
      <c r="M76" s="1222"/>
      <c r="N76" s="1222"/>
      <c r="O76" s="1222"/>
      <c r="P76" s="1222"/>
      <c r="Q76" s="1222"/>
      <c r="R76" s="1222"/>
      <c r="S76" s="1222"/>
      <c r="T76" s="1222"/>
      <c r="U76" s="1222"/>
      <c r="V76" s="1222"/>
      <c r="W76" s="1222"/>
      <c r="X76" s="1222"/>
      <c r="Y76" s="1222"/>
      <c r="Z76" s="1222"/>
      <c r="AA76" s="1222"/>
      <c r="AB76" s="1222"/>
      <c r="AC76" s="1222"/>
      <c r="AD76" s="1222"/>
      <c r="AE76" s="1222"/>
      <c r="AF76" s="1222"/>
      <c r="AG76" s="1222"/>
      <c r="AH76" s="1222"/>
      <c r="AI76" s="1222"/>
      <c r="AJ76" s="1222"/>
      <c r="AK76" s="1222"/>
      <c r="AL76" s="1222"/>
      <c r="AM76" s="1222"/>
      <c r="AN76" s="1222"/>
      <c r="AO76" s="1222"/>
      <c r="AP76" s="1222"/>
      <c r="AQ76" s="1222"/>
      <c r="AR76" s="1222"/>
      <c r="AS76" s="1222"/>
      <c r="AT76" s="1222"/>
      <c r="AU76" s="1222"/>
      <c r="AV76" s="1222"/>
      <c r="AW76" s="1222"/>
      <c r="AX76" s="1222"/>
      <c r="AY76" s="1223"/>
    </row>
    <row r="77" spans="1:51" x14ac:dyDescent="0.3">
      <c r="A77" s="1218" t="s">
        <v>3629</v>
      </c>
      <c r="B77" s="1219"/>
      <c r="C77" s="1219"/>
      <c r="D77" s="1219"/>
      <c r="E77" s="1219"/>
      <c r="F77" s="1219"/>
      <c r="G77" s="1219"/>
      <c r="H77" s="1219"/>
      <c r="I77" s="1219"/>
      <c r="J77" s="1219"/>
      <c r="K77" s="1219"/>
      <c r="L77" s="1219"/>
      <c r="M77" s="1219"/>
      <c r="N77" s="1219"/>
      <c r="O77" s="1219"/>
      <c r="P77" s="1219"/>
      <c r="Q77" s="1219"/>
      <c r="R77" s="1219"/>
      <c r="S77" s="1219"/>
      <c r="T77" s="1219"/>
      <c r="U77" s="1219"/>
      <c r="V77" s="1219"/>
      <c r="W77" s="1219"/>
      <c r="X77" s="1219"/>
      <c r="Y77" s="1219"/>
      <c r="Z77" s="1219"/>
      <c r="AA77" s="1219"/>
      <c r="AB77" s="1219"/>
      <c r="AC77" s="1219"/>
      <c r="AD77" s="1219"/>
      <c r="AE77" s="1219"/>
      <c r="AF77" s="1219"/>
      <c r="AG77" s="1219"/>
      <c r="AH77" s="1219"/>
      <c r="AI77" s="1219"/>
      <c r="AJ77" s="1219"/>
      <c r="AK77" s="1219"/>
      <c r="AL77" s="1219"/>
      <c r="AM77" s="1219"/>
      <c r="AN77" s="1219"/>
      <c r="AO77" s="1219"/>
      <c r="AP77" s="1219"/>
      <c r="AQ77" s="1219"/>
      <c r="AR77" s="1219"/>
      <c r="AS77" s="1219"/>
      <c r="AT77" s="1219"/>
      <c r="AU77" s="1219"/>
      <c r="AV77" s="1219"/>
      <c r="AW77" s="1219"/>
      <c r="AX77" s="1219"/>
      <c r="AY77" s="1220"/>
    </row>
    <row r="78" spans="1:51" x14ac:dyDescent="0.3">
      <c r="A78" s="1193" t="s">
        <v>3630</v>
      </c>
      <c r="B78" s="1194"/>
      <c r="C78" s="1194"/>
      <c r="D78" s="1194"/>
      <c r="E78" s="1194"/>
      <c r="F78" s="1194"/>
      <c r="G78" s="1194"/>
      <c r="H78" s="1194"/>
      <c r="I78" s="1194"/>
      <c r="J78" s="1194"/>
      <c r="K78" s="1194"/>
      <c r="L78" s="1194"/>
      <c r="M78" s="1194"/>
      <c r="N78" s="1194"/>
      <c r="O78" s="1194"/>
      <c r="P78" s="1194"/>
      <c r="Q78" s="1194"/>
      <c r="R78" s="1194"/>
      <c r="S78" s="1194"/>
      <c r="T78" s="1194"/>
      <c r="U78" s="1194"/>
      <c r="V78" s="1194"/>
      <c r="W78" s="1194"/>
      <c r="X78" s="1194"/>
      <c r="Y78" s="1194"/>
      <c r="Z78" s="1194"/>
      <c r="AA78" s="1194"/>
      <c r="AB78" s="1194"/>
      <c r="AC78" s="1194"/>
      <c r="AD78" s="1194"/>
      <c r="AE78" s="1194"/>
      <c r="AF78" s="1194"/>
      <c r="AG78" s="1194"/>
      <c r="AH78" s="1194"/>
      <c r="AI78" s="1194"/>
      <c r="AJ78" s="1194"/>
      <c r="AK78" s="1194"/>
      <c r="AL78" s="1194"/>
      <c r="AM78" s="1194"/>
      <c r="AN78" s="1194"/>
      <c r="AO78" s="1194"/>
      <c r="AP78" s="1194"/>
      <c r="AQ78" s="1194"/>
      <c r="AR78" s="1194"/>
      <c r="AS78" s="1194"/>
      <c r="AT78" s="1194"/>
      <c r="AU78" s="1194"/>
      <c r="AV78" s="1194"/>
      <c r="AW78" s="1194"/>
      <c r="AX78" s="1194"/>
      <c r="AY78" s="1195"/>
    </row>
    <row r="79" spans="1:51" x14ac:dyDescent="0.3">
      <c r="A79" s="1215" t="s">
        <v>3631</v>
      </c>
      <c r="B79" s="1216"/>
      <c r="C79" s="1216"/>
      <c r="D79" s="1216"/>
      <c r="E79" s="1216"/>
      <c r="F79" s="1216"/>
      <c r="G79" s="1216"/>
      <c r="H79" s="1216"/>
      <c r="I79" s="1216"/>
      <c r="J79" s="1216"/>
      <c r="K79" s="1216"/>
      <c r="L79" s="1216"/>
      <c r="M79" s="1216"/>
      <c r="N79" s="1216"/>
      <c r="O79" s="1216"/>
      <c r="P79" s="1216"/>
      <c r="Q79" s="1216"/>
      <c r="R79" s="1216"/>
      <c r="S79" s="1216"/>
      <c r="T79" s="1216"/>
      <c r="U79" s="1216"/>
      <c r="V79" s="1216"/>
      <c r="W79" s="1216"/>
      <c r="X79" s="1216"/>
      <c r="Y79" s="1216"/>
      <c r="Z79" s="1216"/>
      <c r="AA79" s="1216"/>
      <c r="AB79" s="1216"/>
      <c r="AC79" s="1216"/>
      <c r="AD79" s="1216"/>
      <c r="AE79" s="1216"/>
      <c r="AF79" s="1216"/>
      <c r="AG79" s="1216"/>
      <c r="AH79" s="1216"/>
      <c r="AI79" s="1216"/>
      <c r="AJ79" s="1216"/>
      <c r="AK79" s="1216"/>
      <c r="AL79" s="1216"/>
      <c r="AM79" s="1216"/>
      <c r="AN79" s="1216"/>
      <c r="AO79" s="1216"/>
      <c r="AP79" s="1216"/>
      <c r="AQ79" s="1216"/>
      <c r="AR79" s="1216"/>
      <c r="AS79" s="1216"/>
      <c r="AT79" s="1216"/>
      <c r="AU79" s="1216"/>
      <c r="AV79" s="1216"/>
      <c r="AW79" s="1216"/>
      <c r="AX79" s="1216"/>
      <c r="AY79" s="1217"/>
    </row>
    <row r="80" spans="1:51" x14ac:dyDescent="0.3">
      <c r="A80" s="1192" t="s">
        <v>3632</v>
      </c>
      <c r="B80" s="1213"/>
      <c r="C80" s="1213"/>
      <c r="D80" s="1213"/>
      <c r="E80" s="1213"/>
      <c r="F80" s="1213"/>
      <c r="G80" s="1213"/>
      <c r="H80" s="1213"/>
      <c r="I80" s="1213"/>
      <c r="J80" s="1213"/>
      <c r="K80" s="1213"/>
      <c r="L80" s="1213"/>
      <c r="M80" s="1213"/>
      <c r="N80" s="1213"/>
      <c r="O80" s="1213"/>
      <c r="P80" s="1213"/>
      <c r="Q80" s="1213"/>
      <c r="R80" s="1213"/>
      <c r="S80" s="1213"/>
      <c r="T80" s="1213"/>
      <c r="U80" s="1213"/>
      <c r="V80" s="1213"/>
      <c r="W80" s="1213"/>
      <c r="X80" s="1213"/>
      <c r="Y80" s="1213"/>
      <c r="Z80" s="1213"/>
      <c r="AA80" s="1213"/>
      <c r="AB80" s="1213"/>
      <c r="AC80" s="1213"/>
      <c r="AD80" s="1213"/>
      <c r="AE80" s="1213"/>
      <c r="AF80" s="1213"/>
      <c r="AG80" s="1213"/>
      <c r="AH80" s="1213"/>
      <c r="AI80" s="1213"/>
      <c r="AJ80" s="1213"/>
      <c r="AK80" s="1213"/>
      <c r="AL80" s="1213"/>
      <c r="AM80" s="1213"/>
      <c r="AN80" s="1213"/>
      <c r="AO80" s="1213"/>
      <c r="AP80" s="1213"/>
      <c r="AQ80" s="1213"/>
      <c r="AR80" s="1213"/>
      <c r="AS80" s="1213"/>
      <c r="AT80" s="1213"/>
      <c r="AU80" s="1213"/>
      <c r="AV80" s="1213"/>
      <c r="AW80" s="1213"/>
      <c r="AX80" s="1213"/>
      <c r="AY80" s="1214"/>
    </row>
    <row r="81" spans="1:51" x14ac:dyDescent="0.3">
      <c r="A81" s="1193" t="s">
        <v>3633</v>
      </c>
      <c r="B81" s="1194"/>
      <c r="C81" s="1194"/>
      <c r="D81" s="1194"/>
      <c r="E81" s="1194"/>
      <c r="F81" s="1194"/>
      <c r="G81" s="1194"/>
      <c r="H81" s="1194"/>
      <c r="I81" s="1194"/>
      <c r="J81" s="1194"/>
      <c r="K81" s="1194"/>
      <c r="L81" s="1194"/>
      <c r="M81" s="1194"/>
      <c r="N81" s="1194"/>
      <c r="O81" s="1194"/>
      <c r="P81" s="1194"/>
      <c r="Q81" s="1194"/>
      <c r="R81" s="1194"/>
      <c r="S81" s="1194"/>
      <c r="T81" s="1194"/>
      <c r="U81" s="1194"/>
      <c r="V81" s="1194"/>
      <c r="W81" s="1194"/>
      <c r="X81" s="1194"/>
      <c r="Y81" s="1194"/>
      <c r="Z81" s="1194"/>
      <c r="AA81" s="1194"/>
      <c r="AB81" s="1194"/>
      <c r="AC81" s="1194"/>
      <c r="AD81" s="1194"/>
      <c r="AE81" s="1194"/>
      <c r="AF81" s="1194"/>
      <c r="AG81" s="1194"/>
      <c r="AH81" s="1194"/>
      <c r="AI81" s="1194"/>
      <c r="AJ81" s="1194"/>
      <c r="AK81" s="1194"/>
      <c r="AL81" s="1194"/>
      <c r="AM81" s="1194"/>
      <c r="AN81" s="1194"/>
      <c r="AO81" s="1194"/>
      <c r="AP81" s="1194"/>
      <c r="AQ81" s="1194"/>
      <c r="AR81" s="1194"/>
      <c r="AS81" s="1194"/>
      <c r="AT81" s="1194"/>
      <c r="AU81" s="1194"/>
      <c r="AV81" s="1194"/>
      <c r="AW81" s="1194"/>
      <c r="AX81" s="1194"/>
      <c r="AY81" s="1195"/>
    </row>
    <row r="82" spans="1:51" x14ac:dyDescent="0.3">
      <c r="A82" s="1180" t="s">
        <v>3634</v>
      </c>
      <c r="B82" s="1181"/>
      <c r="C82" s="1181"/>
      <c r="D82" s="1181"/>
      <c r="E82" s="1181"/>
      <c r="F82" s="1181"/>
      <c r="G82" s="1181"/>
      <c r="H82" s="1181"/>
      <c r="I82" s="1181"/>
      <c r="J82" s="1181"/>
      <c r="K82" s="1181"/>
      <c r="L82" s="1181"/>
      <c r="M82" s="1181"/>
      <c r="N82" s="1181"/>
      <c r="O82" s="1181"/>
      <c r="P82" s="1181"/>
      <c r="Q82" s="1181"/>
      <c r="R82" s="1181"/>
      <c r="S82" s="1181"/>
      <c r="T82" s="1181"/>
      <c r="U82" s="1181"/>
      <c r="V82" s="1181"/>
      <c r="W82" s="1181"/>
      <c r="X82" s="1181"/>
      <c r="Y82" s="1181"/>
      <c r="Z82" s="1181"/>
      <c r="AA82" s="1181"/>
      <c r="AB82" s="1181"/>
      <c r="AC82" s="1181"/>
      <c r="AD82" s="1181"/>
      <c r="AE82" s="1181"/>
      <c r="AF82" s="1181"/>
      <c r="AG82" s="1181"/>
      <c r="AH82" s="1181"/>
      <c r="AI82" s="1181"/>
      <c r="AJ82" s="1181"/>
      <c r="AK82" s="1181"/>
      <c r="AL82" s="1181"/>
      <c r="AM82" s="1181"/>
      <c r="AN82" s="1181"/>
      <c r="AO82" s="1181"/>
      <c r="AP82" s="1181"/>
      <c r="AQ82" s="1181"/>
      <c r="AR82" s="1181"/>
      <c r="AS82" s="1181"/>
      <c r="AT82" s="1181"/>
      <c r="AU82" s="1181"/>
      <c r="AV82" s="1181"/>
      <c r="AW82" s="1181"/>
      <c r="AX82" s="1181"/>
      <c r="AY82" s="1182"/>
    </row>
    <row r="83" spans="1:51" x14ac:dyDescent="0.3">
      <c r="A83" s="1183" t="s">
        <v>3635</v>
      </c>
      <c r="B83" s="1199"/>
      <c r="C83" s="1199"/>
      <c r="D83" s="1199"/>
      <c r="E83" s="1199"/>
      <c r="F83" s="1199"/>
      <c r="G83" s="1199"/>
      <c r="H83" s="1199"/>
      <c r="I83" s="1199"/>
      <c r="J83" s="1199"/>
      <c r="K83" s="1199"/>
      <c r="L83" s="1199"/>
      <c r="M83" s="1199"/>
      <c r="N83" s="1199"/>
      <c r="O83" s="1199"/>
      <c r="P83" s="1199"/>
      <c r="Q83" s="1199"/>
      <c r="R83" s="1199"/>
      <c r="S83" s="1199"/>
      <c r="T83" s="1199"/>
      <c r="U83" s="1199"/>
      <c r="V83" s="1199"/>
      <c r="W83" s="1199"/>
      <c r="X83" s="1199"/>
      <c r="Y83" s="1199"/>
      <c r="Z83" s="1199"/>
      <c r="AA83" s="1199"/>
      <c r="AB83" s="1199"/>
      <c r="AC83" s="1199"/>
      <c r="AD83" s="1199"/>
      <c r="AE83" s="1199"/>
      <c r="AF83" s="1199"/>
      <c r="AG83" s="1199"/>
      <c r="AH83" s="1199"/>
      <c r="AI83" s="1199"/>
      <c r="AJ83" s="1199"/>
      <c r="AK83" s="1199"/>
      <c r="AL83" s="1199"/>
      <c r="AM83" s="1199"/>
      <c r="AN83" s="1199"/>
      <c r="AO83" s="1199"/>
      <c r="AP83" s="1199"/>
      <c r="AQ83" s="1199"/>
      <c r="AR83" s="1199"/>
      <c r="AS83" s="1199"/>
      <c r="AT83" s="1199"/>
      <c r="AU83" s="1199"/>
      <c r="AV83" s="1199"/>
      <c r="AW83" s="1199"/>
      <c r="AX83" s="1199"/>
      <c r="AY83" s="1200"/>
    </row>
    <row r="84" spans="1:51" x14ac:dyDescent="0.3">
      <c r="A84" s="311" t="s">
        <v>3636</v>
      </c>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2"/>
      <c r="AY84" s="313"/>
    </row>
    <row r="85" spans="1:51" x14ac:dyDescent="0.3">
      <c r="A85" s="1192" t="s">
        <v>3637</v>
      </c>
      <c r="B85" s="1187"/>
      <c r="C85" s="1187"/>
      <c r="D85" s="1187"/>
      <c r="E85" s="1187"/>
      <c r="F85" s="1187"/>
      <c r="G85" s="1187"/>
      <c r="H85" s="1187"/>
      <c r="I85" s="1187"/>
      <c r="J85" s="1187"/>
      <c r="K85" s="1187"/>
      <c r="L85" s="1187"/>
      <c r="M85" s="1187"/>
      <c r="N85" s="1187"/>
      <c r="O85" s="1187"/>
      <c r="P85" s="1187"/>
      <c r="Q85" s="1187"/>
      <c r="R85" s="1187"/>
      <c r="S85" s="1187"/>
      <c r="T85" s="1187"/>
      <c r="U85" s="1187"/>
      <c r="V85" s="1187"/>
      <c r="W85" s="1187"/>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187"/>
      <c r="AS85" s="1187"/>
      <c r="AT85" s="1187"/>
      <c r="AU85" s="1187"/>
      <c r="AV85" s="1187"/>
      <c r="AW85" s="1187"/>
      <c r="AX85" s="1187"/>
      <c r="AY85" s="1188"/>
    </row>
    <row r="86" spans="1:51" x14ac:dyDescent="0.3">
      <c r="A86" s="1193" t="s">
        <v>3638</v>
      </c>
      <c r="B86" s="1194"/>
      <c r="C86" s="1194"/>
      <c r="D86" s="1194"/>
      <c r="E86" s="1194"/>
      <c r="F86" s="1194"/>
      <c r="G86" s="1194"/>
      <c r="H86" s="1194"/>
      <c r="I86" s="1194"/>
      <c r="J86" s="1194"/>
      <c r="K86" s="1194"/>
      <c r="L86" s="1194"/>
      <c r="M86" s="1194"/>
      <c r="N86" s="1194"/>
      <c r="O86" s="1194"/>
      <c r="P86" s="1194"/>
      <c r="Q86" s="1194"/>
      <c r="R86" s="1194"/>
      <c r="S86" s="1194"/>
      <c r="T86" s="1194"/>
      <c r="U86" s="1194"/>
      <c r="V86" s="1194"/>
      <c r="W86" s="1194"/>
      <c r="X86" s="1194"/>
      <c r="Y86" s="1194"/>
      <c r="Z86" s="1194"/>
      <c r="AA86" s="1194"/>
      <c r="AB86" s="1194"/>
      <c r="AC86" s="1194"/>
      <c r="AD86" s="1194"/>
      <c r="AE86" s="1194"/>
      <c r="AF86" s="1194"/>
      <c r="AG86" s="1194"/>
      <c r="AH86" s="1194"/>
      <c r="AI86" s="1194"/>
      <c r="AJ86" s="1194"/>
      <c r="AK86" s="1194"/>
      <c r="AL86" s="1194"/>
      <c r="AM86" s="1194"/>
      <c r="AN86" s="1194"/>
      <c r="AO86" s="1194"/>
      <c r="AP86" s="1194"/>
      <c r="AQ86" s="1194"/>
      <c r="AR86" s="1194"/>
      <c r="AS86" s="1194"/>
      <c r="AT86" s="1194"/>
      <c r="AU86" s="1194"/>
      <c r="AV86" s="1194"/>
      <c r="AW86" s="1194"/>
      <c r="AX86" s="1194"/>
      <c r="AY86" s="1195"/>
    </row>
    <row r="87" spans="1:51" x14ac:dyDescent="0.3">
      <c r="A87" s="1196" t="s">
        <v>3639</v>
      </c>
      <c r="B87" s="1197"/>
      <c r="C87" s="1197"/>
      <c r="D87" s="1197"/>
      <c r="E87" s="1197"/>
      <c r="F87" s="1197"/>
      <c r="G87" s="1197"/>
      <c r="H87" s="1197"/>
      <c r="I87" s="1197"/>
      <c r="J87" s="1197"/>
      <c r="K87" s="1197"/>
      <c r="L87" s="1197"/>
      <c r="M87" s="1197"/>
      <c r="N87" s="1197"/>
      <c r="O87" s="1197"/>
      <c r="P87" s="1197"/>
      <c r="Q87" s="1197"/>
      <c r="R87" s="1197"/>
      <c r="S87" s="1197"/>
      <c r="T87" s="1197"/>
      <c r="U87" s="1197"/>
      <c r="V87" s="1197"/>
      <c r="W87" s="1197"/>
      <c r="X87" s="1197"/>
      <c r="Y87" s="1197"/>
      <c r="Z87" s="1197"/>
      <c r="AA87" s="1197"/>
      <c r="AB87" s="1197"/>
      <c r="AC87" s="1197"/>
      <c r="AD87" s="1197"/>
      <c r="AE87" s="1197"/>
      <c r="AF87" s="1197"/>
      <c r="AG87" s="1197"/>
      <c r="AH87" s="1197"/>
      <c r="AI87" s="1197"/>
      <c r="AJ87" s="1197"/>
      <c r="AK87" s="1197"/>
      <c r="AL87" s="1197"/>
      <c r="AM87" s="1197"/>
      <c r="AN87" s="1197"/>
      <c r="AO87" s="1197"/>
      <c r="AP87" s="1197"/>
      <c r="AQ87" s="1197"/>
      <c r="AR87" s="1197"/>
      <c r="AS87" s="1197"/>
      <c r="AT87" s="1197"/>
      <c r="AU87" s="1197"/>
      <c r="AV87" s="1197"/>
      <c r="AW87" s="1197"/>
      <c r="AX87" s="1197"/>
      <c r="AY87" s="1198"/>
    </row>
    <row r="88" spans="1:51" x14ac:dyDescent="0.3">
      <c r="A88" s="1183" t="s">
        <v>3640</v>
      </c>
      <c r="B88" s="1184"/>
      <c r="C88" s="1184"/>
      <c r="D88" s="1184"/>
      <c r="E88" s="1184"/>
      <c r="F88" s="1184"/>
      <c r="G88" s="1184"/>
      <c r="H88" s="1184"/>
      <c r="I88" s="1184"/>
      <c r="J88" s="1184"/>
      <c r="K88" s="1184"/>
      <c r="L88" s="1184"/>
      <c r="M88" s="1184"/>
      <c r="N88" s="1184"/>
      <c r="O88" s="1184"/>
      <c r="P88" s="1184"/>
      <c r="Q88" s="1184"/>
      <c r="R88" s="1184"/>
      <c r="S88" s="1184"/>
      <c r="T88" s="1184"/>
      <c r="U88" s="1184"/>
      <c r="V88" s="1184"/>
      <c r="W88" s="1184"/>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184"/>
      <c r="AS88" s="1184"/>
      <c r="AT88" s="1184"/>
      <c r="AU88" s="1184"/>
      <c r="AV88" s="1184"/>
      <c r="AW88" s="1184"/>
      <c r="AX88" s="1184"/>
      <c r="AY88" s="1185"/>
    </row>
    <row r="89" spans="1:51" x14ac:dyDescent="0.3">
      <c r="A89" s="1180" t="s">
        <v>3641</v>
      </c>
      <c r="B89" s="1181"/>
      <c r="C89" s="1181"/>
      <c r="D89" s="1181"/>
      <c r="E89" s="1181"/>
      <c r="F89" s="1181"/>
      <c r="G89" s="1181"/>
      <c r="H89" s="1181"/>
      <c r="I89" s="1181"/>
      <c r="J89" s="1181"/>
      <c r="K89" s="1181"/>
      <c r="L89" s="1181"/>
      <c r="M89" s="1181"/>
      <c r="N89" s="1181"/>
      <c r="O89" s="1181"/>
      <c r="P89" s="1181"/>
      <c r="Q89" s="1181"/>
      <c r="R89" s="1181"/>
      <c r="S89" s="1181"/>
      <c r="T89" s="1181"/>
      <c r="U89" s="1181"/>
      <c r="V89" s="1181"/>
      <c r="W89" s="1181"/>
      <c r="X89" s="1181"/>
      <c r="Y89" s="1181"/>
      <c r="Z89" s="1181"/>
      <c r="AA89" s="1181"/>
      <c r="AB89" s="1181"/>
      <c r="AC89" s="1181"/>
      <c r="AD89" s="1181"/>
      <c r="AE89" s="1181"/>
      <c r="AF89" s="1181"/>
      <c r="AG89" s="1181"/>
      <c r="AH89" s="1181"/>
      <c r="AI89" s="1181"/>
      <c r="AJ89" s="1181"/>
      <c r="AK89" s="1181"/>
      <c r="AL89" s="1181"/>
      <c r="AM89" s="1181"/>
      <c r="AN89" s="1181"/>
      <c r="AO89" s="1181"/>
      <c r="AP89" s="1181"/>
      <c r="AQ89" s="1181"/>
      <c r="AR89" s="1181"/>
      <c r="AS89" s="1181"/>
      <c r="AT89" s="1181"/>
      <c r="AU89" s="1181"/>
      <c r="AV89" s="1181"/>
      <c r="AW89" s="1181"/>
      <c r="AX89" s="1181"/>
      <c r="AY89" s="1182"/>
    </row>
    <row r="90" spans="1:51" x14ac:dyDescent="0.3">
      <c r="A90" s="1183" t="s">
        <v>3642</v>
      </c>
      <c r="B90" s="1184"/>
      <c r="C90" s="1184"/>
      <c r="D90" s="1184"/>
      <c r="E90" s="1184"/>
      <c r="F90" s="1184"/>
      <c r="G90" s="1184"/>
      <c r="H90" s="1184"/>
      <c r="I90" s="1184"/>
      <c r="J90" s="1184"/>
      <c r="K90" s="1184"/>
      <c r="L90" s="1184"/>
      <c r="M90" s="1184"/>
      <c r="N90" s="1184"/>
      <c r="O90" s="1184"/>
      <c r="P90" s="1184"/>
      <c r="Q90" s="1184"/>
      <c r="R90" s="1184"/>
      <c r="S90" s="1184"/>
      <c r="T90" s="1184"/>
      <c r="U90" s="1184"/>
      <c r="V90" s="1184"/>
      <c r="W90" s="1184"/>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184"/>
      <c r="AS90" s="1184"/>
      <c r="AT90" s="1184"/>
      <c r="AU90" s="1184"/>
      <c r="AV90" s="1184"/>
      <c r="AW90" s="1184"/>
      <c r="AX90" s="1184"/>
      <c r="AY90" s="1185"/>
    </row>
    <row r="91" spans="1:51" x14ac:dyDescent="0.3">
      <c r="A91" s="1180" t="s">
        <v>3643</v>
      </c>
      <c r="B91" s="1181"/>
      <c r="C91" s="1181"/>
      <c r="D91" s="1181"/>
      <c r="E91" s="1181"/>
      <c r="F91" s="1181"/>
      <c r="G91" s="1181"/>
      <c r="H91" s="1181"/>
      <c r="I91" s="1181"/>
      <c r="J91" s="1181"/>
      <c r="K91" s="1181"/>
      <c r="L91" s="1181"/>
      <c r="M91" s="1181"/>
      <c r="N91" s="1181"/>
      <c r="O91" s="1181"/>
      <c r="P91" s="1181"/>
      <c r="Q91" s="1181"/>
      <c r="R91" s="1181"/>
      <c r="S91" s="1181"/>
      <c r="T91" s="1181"/>
      <c r="U91" s="1181"/>
      <c r="V91" s="1181"/>
      <c r="W91" s="1181"/>
      <c r="X91" s="1181"/>
      <c r="Y91" s="1181"/>
      <c r="Z91" s="1181"/>
      <c r="AA91" s="1181"/>
      <c r="AB91" s="1181"/>
      <c r="AC91" s="1181"/>
      <c r="AD91" s="1181"/>
      <c r="AE91" s="1181"/>
      <c r="AF91" s="1181"/>
      <c r="AG91" s="1181"/>
      <c r="AH91" s="1181"/>
      <c r="AI91" s="1181"/>
      <c r="AJ91" s="1181"/>
      <c r="AK91" s="1181"/>
      <c r="AL91" s="1181"/>
      <c r="AM91" s="1181"/>
      <c r="AN91" s="1181"/>
      <c r="AO91" s="1181"/>
      <c r="AP91" s="1181"/>
      <c r="AQ91" s="1181"/>
      <c r="AR91" s="1181"/>
      <c r="AS91" s="1181"/>
      <c r="AT91" s="1181"/>
      <c r="AU91" s="1181"/>
      <c r="AV91" s="1181"/>
      <c r="AW91" s="1181"/>
      <c r="AX91" s="1181"/>
      <c r="AY91" s="1182"/>
    </row>
    <row r="92" spans="1:51" x14ac:dyDescent="0.3">
      <c r="A92" s="1183" t="s">
        <v>3644</v>
      </c>
      <c r="B92" s="1184"/>
      <c r="C92" s="1184"/>
      <c r="D92" s="1184"/>
      <c r="E92" s="1184"/>
      <c r="F92" s="1184"/>
      <c r="G92" s="1184"/>
      <c r="H92" s="1184"/>
      <c r="I92" s="1184"/>
      <c r="J92" s="1184"/>
      <c r="K92" s="1184"/>
      <c r="L92" s="1184"/>
      <c r="M92" s="1184"/>
      <c r="N92" s="1184"/>
      <c r="O92" s="1184"/>
      <c r="P92" s="1184"/>
      <c r="Q92" s="1184"/>
      <c r="R92" s="1184"/>
      <c r="S92" s="1184"/>
      <c r="T92" s="1184"/>
      <c r="U92" s="1184"/>
      <c r="V92" s="1184"/>
      <c r="W92" s="1184"/>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184"/>
      <c r="AS92" s="1184"/>
      <c r="AT92" s="1184"/>
      <c r="AU92" s="1184"/>
      <c r="AV92" s="1184"/>
      <c r="AW92" s="1184"/>
      <c r="AX92" s="1184"/>
      <c r="AY92" s="1185"/>
    </row>
    <row r="93" spans="1:51" x14ac:dyDescent="0.3">
      <c r="A93" s="1180" t="s">
        <v>3645</v>
      </c>
      <c r="B93" s="1181"/>
      <c r="C93" s="1181"/>
      <c r="D93" s="1181"/>
      <c r="E93" s="1181"/>
      <c r="F93" s="1181"/>
      <c r="G93" s="1181"/>
      <c r="H93" s="1181"/>
      <c r="I93" s="1181"/>
      <c r="J93" s="1181"/>
      <c r="K93" s="1181"/>
      <c r="L93" s="1181"/>
      <c r="M93" s="1181"/>
      <c r="N93" s="1181"/>
      <c r="O93" s="1181"/>
      <c r="P93" s="1181"/>
      <c r="Q93" s="1181"/>
      <c r="R93" s="1181"/>
      <c r="S93" s="1181"/>
      <c r="T93" s="1181"/>
      <c r="U93" s="1181"/>
      <c r="V93" s="1181"/>
      <c r="W93" s="1181"/>
      <c r="X93" s="1181"/>
      <c r="Y93" s="1181"/>
      <c r="Z93" s="1181"/>
      <c r="AA93" s="1181"/>
      <c r="AB93" s="1181"/>
      <c r="AC93" s="1181"/>
      <c r="AD93" s="1181"/>
      <c r="AE93" s="1181"/>
      <c r="AF93" s="1181"/>
      <c r="AG93" s="1181"/>
      <c r="AH93" s="1181"/>
      <c r="AI93" s="1181"/>
      <c r="AJ93" s="1181"/>
      <c r="AK93" s="1181"/>
      <c r="AL93" s="1181"/>
      <c r="AM93" s="1181"/>
      <c r="AN93" s="1181"/>
      <c r="AO93" s="1181"/>
      <c r="AP93" s="1181"/>
      <c r="AQ93" s="1181"/>
      <c r="AR93" s="1181"/>
      <c r="AS93" s="1181"/>
      <c r="AT93" s="1181"/>
      <c r="AU93" s="1181"/>
      <c r="AV93" s="1181"/>
      <c r="AW93" s="1181"/>
      <c r="AX93" s="1181"/>
      <c r="AY93" s="1182"/>
    </row>
    <row r="94" spans="1:51" x14ac:dyDescent="0.3">
      <c r="A94" s="1183" t="s">
        <v>3646</v>
      </c>
      <c r="B94" s="1184"/>
      <c r="C94" s="1184"/>
      <c r="D94" s="1184"/>
      <c r="E94" s="1184"/>
      <c r="F94" s="1184"/>
      <c r="G94" s="1184"/>
      <c r="H94" s="1184"/>
      <c r="I94" s="1184"/>
      <c r="J94" s="1184"/>
      <c r="K94" s="1184"/>
      <c r="L94" s="1184"/>
      <c r="M94" s="1184"/>
      <c r="N94" s="1184"/>
      <c r="O94" s="1184"/>
      <c r="P94" s="1184"/>
      <c r="Q94" s="1184"/>
      <c r="R94" s="1184"/>
      <c r="S94" s="1184"/>
      <c r="T94" s="1184"/>
      <c r="U94" s="1184"/>
      <c r="V94" s="1184"/>
      <c r="W94" s="1184"/>
      <c r="X94" s="1184"/>
      <c r="Y94" s="1184"/>
      <c r="Z94" s="1184"/>
      <c r="AA94" s="1184"/>
      <c r="AB94" s="1184"/>
      <c r="AC94" s="1184"/>
      <c r="AD94" s="1184"/>
      <c r="AE94" s="1184"/>
      <c r="AF94" s="1184"/>
      <c r="AG94" s="1184"/>
      <c r="AH94" s="1184"/>
      <c r="AI94" s="1184"/>
      <c r="AJ94" s="1184"/>
      <c r="AK94" s="1184"/>
      <c r="AL94" s="1184"/>
      <c r="AM94" s="1184"/>
      <c r="AN94" s="1184"/>
      <c r="AO94" s="1184"/>
      <c r="AP94" s="1184"/>
      <c r="AQ94" s="1184"/>
      <c r="AR94" s="1184"/>
      <c r="AS94" s="1184"/>
      <c r="AT94" s="1184"/>
      <c r="AU94" s="1184"/>
      <c r="AV94" s="1184"/>
      <c r="AW94" s="1184"/>
      <c r="AX94" s="1184"/>
      <c r="AY94" s="1185"/>
    </row>
    <row r="95" spans="1:51" x14ac:dyDescent="0.3">
      <c r="A95" s="1180" t="s">
        <v>3647</v>
      </c>
      <c r="B95" s="1181"/>
      <c r="C95" s="1181"/>
      <c r="D95" s="1181"/>
      <c r="E95" s="1181"/>
      <c r="F95" s="1181"/>
      <c r="G95" s="1181"/>
      <c r="H95" s="1181"/>
      <c r="I95" s="1181"/>
      <c r="J95" s="1181"/>
      <c r="K95" s="1181"/>
      <c r="L95" s="1181"/>
      <c r="M95" s="1181"/>
      <c r="N95" s="1181"/>
      <c r="O95" s="1181"/>
      <c r="P95" s="1181"/>
      <c r="Q95" s="1181"/>
      <c r="R95" s="1181"/>
      <c r="S95" s="1181"/>
      <c r="T95" s="1181"/>
      <c r="U95" s="1181"/>
      <c r="V95" s="1181"/>
      <c r="W95" s="1181"/>
      <c r="X95" s="1181"/>
      <c r="Y95" s="1181"/>
      <c r="Z95" s="1181"/>
      <c r="AA95" s="1181"/>
      <c r="AB95" s="1181"/>
      <c r="AC95" s="1181"/>
      <c r="AD95" s="1181"/>
      <c r="AE95" s="1181"/>
      <c r="AF95" s="1181"/>
      <c r="AG95" s="1181"/>
      <c r="AH95" s="1181"/>
      <c r="AI95" s="1181"/>
      <c r="AJ95" s="1181"/>
      <c r="AK95" s="1181"/>
      <c r="AL95" s="1181"/>
      <c r="AM95" s="1181"/>
      <c r="AN95" s="1181"/>
      <c r="AO95" s="1181"/>
      <c r="AP95" s="1181"/>
      <c r="AQ95" s="1181"/>
      <c r="AR95" s="1181"/>
      <c r="AS95" s="1181"/>
      <c r="AT95" s="1181"/>
      <c r="AU95" s="1181"/>
      <c r="AV95" s="1181"/>
      <c r="AW95" s="1181"/>
      <c r="AX95" s="1181"/>
      <c r="AY95" s="1182"/>
    </row>
    <row r="96" spans="1:51" x14ac:dyDescent="0.3">
      <c r="A96" s="1183" t="s">
        <v>3648</v>
      </c>
      <c r="B96" s="1184"/>
      <c r="C96" s="1184"/>
      <c r="D96" s="1184"/>
      <c r="E96" s="1184"/>
      <c r="F96" s="1184"/>
      <c r="G96" s="1184"/>
      <c r="H96" s="1184"/>
      <c r="I96" s="1184"/>
      <c r="J96" s="1184"/>
      <c r="K96" s="1184"/>
      <c r="L96" s="1184"/>
      <c r="M96" s="1184"/>
      <c r="N96" s="1184"/>
      <c r="O96" s="1184"/>
      <c r="P96" s="1184"/>
      <c r="Q96" s="1184"/>
      <c r="R96" s="1184"/>
      <c r="S96" s="1184"/>
      <c r="T96" s="1184"/>
      <c r="U96" s="1184"/>
      <c r="V96" s="1184"/>
      <c r="W96" s="1184"/>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184"/>
      <c r="AS96" s="1184"/>
      <c r="AT96" s="1184"/>
      <c r="AU96" s="1184"/>
      <c r="AV96" s="1184"/>
      <c r="AW96" s="1184"/>
      <c r="AX96" s="1184"/>
      <c r="AY96" s="1185"/>
    </row>
    <row r="97" spans="1:51" x14ac:dyDescent="0.3">
      <c r="A97" s="1180" t="s">
        <v>3649</v>
      </c>
      <c r="B97" s="1181"/>
      <c r="C97" s="1181"/>
      <c r="D97" s="1181"/>
      <c r="E97" s="1181"/>
      <c r="F97" s="1181"/>
      <c r="G97" s="1181"/>
      <c r="H97" s="1181"/>
      <c r="I97" s="1181"/>
      <c r="J97" s="1181"/>
      <c r="K97" s="1181"/>
      <c r="L97" s="1181"/>
      <c r="M97" s="1181"/>
      <c r="N97" s="1181"/>
      <c r="O97" s="1181"/>
      <c r="P97" s="1181"/>
      <c r="Q97" s="1181"/>
      <c r="R97" s="1181"/>
      <c r="S97" s="1181"/>
      <c r="T97" s="1181"/>
      <c r="U97" s="1181"/>
      <c r="V97" s="1181"/>
      <c r="W97" s="1181"/>
      <c r="X97" s="1181"/>
      <c r="Y97" s="1181"/>
      <c r="Z97" s="1181"/>
      <c r="AA97" s="1181"/>
      <c r="AB97" s="1181"/>
      <c r="AC97" s="1181"/>
      <c r="AD97" s="1181"/>
      <c r="AE97" s="1181"/>
      <c r="AF97" s="1181"/>
      <c r="AG97" s="1181"/>
      <c r="AH97" s="1181"/>
      <c r="AI97" s="1181"/>
      <c r="AJ97" s="1181"/>
      <c r="AK97" s="1181"/>
      <c r="AL97" s="1181"/>
      <c r="AM97" s="1181"/>
      <c r="AN97" s="1181"/>
      <c r="AO97" s="1181"/>
      <c r="AP97" s="1181"/>
      <c r="AQ97" s="1181"/>
      <c r="AR97" s="1181"/>
      <c r="AS97" s="1181"/>
      <c r="AT97" s="1181"/>
      <c r="AU97" s="1181"/>
      <c r="AV97" s="1181"/>
      <c r="AW97" s="1181"/>
      <c r="AX97" s="1181"/>
      <c r="AY97" s="1182"/>
    </row>
    <row r="98" spans="1:51" x14ac:dyDescent="0.3">
      <c r="A98" s="1183" t="s">
        <v>3650</v>
      </c>
      <c r="B98" s="1184"/>
      <c r="C98" s="1184"/>
      <c r="D98" s="1184"/>
      <c r="E98" s="1184"/>
      <c r="F98" s="1184"/>
      <c r="G98" s="1184"/>
      <c r="H98" s="1184"/>
      <c r="I98" s="1184"/>
      <c r="J98" s="1184"/>
      <c r="K98" s="1184"/>
      <c r="L98" s="1184"/>
      <c r="M98" s="1184"/>
      <c r="N98" s="1184"/>
      <c r="O98" s="1184"/>
      <c r="P98" s="1184"/>
      <c r="Q98" s="1184"/>
      <c r="R98" s="1184"/>
      <c r="S98" s="1184"/>
      <c r="T98" s="1184"/>
      <c r="U98" s="1184"/>
      <c r="V98" s="1184"/>
      <c r="W98" s="1184"/>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184"/>
      <c r="AS98" s="1184"/>
      <c r="AT98" s="1184"/>
      <c r="AU98" s="1184"/>
      <c r="AV98" s="1184"/>
      <c r="AW98" s="1184"/>
      <c r="AX98" s="1184"/>
      <c r="AY98" s="1185"/>
    </row>
    <row r="99" spans="1:51" x14ac:dyDescent="0.3">
      <c r="A99" s="1180" t="s">
        <v>3651</v>
      </c>
      <c r="B99" s="1181"/>
      <c r="C99" s="1181"/>
      <c r="D99" s="1181"/>
      <c r="E99" s="1181"/>
      <c r="F99" s="1181"/>
      <c r="G99" s="1181"/>
      <c r="H99" s="1181"/>
      <c r="I99" s="1181"/>
      <c r="J99" s="1181"/>
      <c r="K99" s="1181"/>
      <c r="L99" s="1181"/>
      <c r="M99" s="1181"/>
      <c r="N99" s="1181"/>
      <c r="O99" s="1181"/>
      <c r="P99" s="1181"/>
      <c r="Q99" s="1181"/>
      <c r="R99" s="1181"/>
      <c r="S99" s="1181"/>
      <c r="T99" s="1181"/>
      <c r="U99" s="1181"/>
      <c r="V99" s="1181"/>
      <c r="W99" s="1181"/>
      <c r="X99" s="1181"/>
      <c r="Y99" s="1181"/>
      <c r="Z99" s="1181"/>
      <c r="AA99" s="1181"/>
      <c r="AB99" s="1181"/>
      <c r="AC99" s="1181"/>
      <c r="AD99" s="1181"/>
      <c r="AE99" s="1181"/>
      <c r="AF99" s="1181"/>
      <c r="AG99" s="1181"/>
      <c r="AH99" s="1181"/>
      <c r="AI99" s="1181"/>
      <c r="AJ99" s="1181"/>
      <c r="AK99" s="1181"/>
      <c r="AL99" s="1181"/>
      <c r="AM99" s="1181"/>
      <c r="AN99" s="1181"/>
      <c r="AO99" s="1181"/>
      <c r="AP99" s="1181"/>
      <c r="AQ99" s="1181"/>
      <c r="AR99" s="1181"/>
      <c r="AS99" s="1181"/>
      <c r="AT99" s="1181"/>
      <c r="AU99" s="1181"/>
      <c r="AV99" s="1181"/>
      <c r="AW99" s="1181"/>
      <c r="AX99" s="1181"/>
      <c r="AY99" s="1182"/>
    </row>
    <row r="100" spans="1:51" x14ac:dyDescent="0.3">
      <c r="A100" s="1183" t="s">
        <v>3652</v>
      </c>
      <c r="B100" s="1184"/>
      <c r="C100" s="1184"/>
      <c r="D100" s="1184"/>
      <c r="E100" s="1184"/>
      <c r="F100" s="1184"/>
      <c r="G100" s="1184"/>
      <c r="H100" s="1184"/>
      <c r="I100" s="1184"/>
      <c r="J100" s="1184"/>
      <c r="K100" s="1184"/>
      <c r="L100" s="1184"/>
      <c r="M100" s="1184"/>
      <c r="N100" s="1184"/>
      <c r="O100" s="1184"/>
      <c r="P100" s="1184"/>
      <c r="Q100" s="1184"/>
      <c r="R100" s="1184"/>
      <c r="S100" s="1184"/>
      <c r="T100" s="1184"/>
      <c r="U100" s="1184"/>
      <c r="V100" s="1184"/>
      <c r="W100" s="1184"/>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184"/>
      <c r="AS100" s="1184"/>
      <c r="AT100" s="1184"/>
      <c r="AU100" s="1184"/>
      <c r="AV100" s="1184"/>
      <c r="AW100" s="1184"/>
      <c r="AX100" s="1184"/>
      <c r="AY100" s="1185"/>
    </row>
    <row r="101" spans="1:51" x14ac:dyDescent="0.3">
      <c r="A101" s="1180" t="s">
        <v>3653</v>
      </c>
      <c r="B101" s="1181"/>
      <c r="C101" s="1181"/>
      <c r="D101" s="1181"/>
      <c r="E101" s="1181"/>
      <c r="F101" s="1181"/>
      <c r="G101" s="1181"/>
      <c r="H101" s="1181"/>
      <c r="I101" s="1181"/>
      <c r="J101" s="1181"/>
      <c r="K101" s="1181"/>
      <c r="L101" s="1181"/>
      <c r="M101" s="1181"/>
      <c r="N101" s="1181"/>
      <c r="O101" s="1181"/>
      <c r="P101" s="1181"/>
      <c r="Q101" s="1181"/>
      <c r="R101" s="1181"/>
      <c r="S101" s="1181"/>
      <c r="T101" s="1181"/>
      <c r="U101" s="1181"/>
      <c r="V101" s="1181"/>
      <c r="W101" s="1181"/>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c r="AR101" s="1181"/>
      <c r="AS101" s="1181"/>
      <c r="AT101" s="1181"/>
      <c r="AU101" s="1181"/>
      <c r="AV101" s="1181"/>
      <c r="AW101" s="1181"/>
      <c r="AX101" s="1181"/>
      <c r="AY101" s="1182"/>
    </row>
    <row r="102" spans="1:51" x14ac:dyDescent="0.3">
      <c r="A102" s="1183" t="s">
        <v>3654</v>
      </c>
      <c r="B102" s="1184"/>
      <c r="C102" s="1184"/>
      <c r="D102" s="1184"/>
      <c r="E102" s="1184"/>
      <c r="F102" s="1184"/>
      <c r="G102" s="1184"/>
      <c r="H102" s="1184"/>
      <c r="I102" s="1184"/>
      <c r="J102" s="1184"/>
      <c r="K102" s="1184"/>
      <c r="L102" s="1184"/>
      <c r="M102" s="1184"/>
      <c r="N102" s="1184"/>
      <c r="O102" s="1184"/>
      <c r="P102" s="1184"/>
      <c r="Q102" s="1184"/>
      <c r="R102" s="1184"/>
      <c r="S102" s="1184"/>
      <c r="T102" s="1184"/>
      <c r="U102" s="1184"/>
      <c r="V102" s="1184"/>
      <c r="W102" s="1184"/>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184"/>
      <c r="AS102" s="1184"/>
      <c r="AT102" s="1184"/>
      <c r="AU102" s="1184"/>
      <c r="AV102" s="1184"/>
      <c r="AW102" s="1184"/>
      <c r="AX102" s="1184"/>
      <c r="AY102" s="1185"/>
    </row>
    <row r="103" spans="1:51" x14ac:dyDescent="0.3">
      <c r="A103" s="1180" t="s">
        <v>3655</v>
      </c>
      <c r="B103" s="1181"/>
      <c r="C103" s="1181"/>
      <c r="D103" s="1181"/>
      <c r="E103" s="1181"/>
      <c r="F103" s="1181"/>
      <c r="G103" s="1181"/>
      <c r="H103" s="1181"/>
      <c r="I103" s="1181"/>
      <c r="J103" s="1181"/>
      <c r="K103" s="1181"/>
      <c r="L103" s="1181"/>
      <c r="M103" s="1181"/>
      <c r="N103" s="1181"/>
      <c r="O103" s="1181"/>
      <c r="P103" s="1181"/>
      <c r="Q103" s="1181"/>
      <c r="R103" s="1181"/>
      <c r="S103" s="1181"/>
      <c r="T103" s="1181"/>
      <c r="U103" s="1181"/>
      <c r="V103" s="1181"/>
      <c r="W103" s="1181"/>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c r="AR103" s="1181"/>
      <c r="AS103" s="1181"/>
      <c r="AT103" s="1181"/>
      <c r="AU103" s="1181"/>
      <c r="AV103" s="1181"/>
      <c r="AW103" s="1181"/>
      <c r="AX103" s="1181"/>
      <c r="AY103" s="1182"/>
    </row>
    <row r="104" spans="1:51" x14ac:dyDescent="0.3">
      <c r="A104" s="1183" t="s">
        <v>3656</v>
      </c>
      <c r="B104" s="1184"/>
      <c r="C104" s="1184"/>
      <c r="D104" s="1184"/>
      <c r="E104" s="1184"/>
      <c r="F104" s="1184"/>
      <c r="G104" s="1184"/>
      <c r="H104" s="1184"/>
      <c r="I104" s="1184"/>
      <c r="J104" s="1184"/>
      <c r="K104" s="1184"/>
      <c r="L104" s="1184"/>
      <c r="M104" s="1184"/>
      <c r="N104" s="1184"/>
      <c r="O104" s="1184"/>
      <c r="P104" s="1184"/>
      <c r="Q104" s="1184"/>
      <c r="R104" s="1184"/>
      <c r="S104" s="1184"/>
      <c r="T104" s="1184"/>
      <c r="U104" s="1184"/>
      <c r="V104" s="1184"/>
      <c r="W104" s="1184"/>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184"/>
      <c r="AS104" s="1184"/>
      <c r="AT104" s="1184"/>
      <c r="AU104" s="1184"/>
      <c r="AV104" s="1184"/>
      <c r="AW104" s="1184"/>
      <c r="AX104" s="1184"/>
      <c r="AY104" s="1185"/>
    </row>
    <row r="105" spans="1:51" x14ac:dyDescent="0.3">
      <c r="A105" s="1180" t="s">
        <v>3657</v>
      </c>
      <c r="B105" s="1181"/>
      <c r="C105" s="1181"/>
      <c r="D105" s="1181"/>
      <c r="E105" s="1181"/>
      <c r="F105" s="1181"/>
      <c r="G105" s="1181"/>
      <c r="H105" s="1181"/>
      <c r="I105" s="1181"/>
      <c r="J105" s="1181"/>
      <c r="K105" s="1181"/>
      <c r="L105" s="1181"/>
      <c r="M105" s="1181"/>
      <c r="N105" s="1181"/>
      <c r="O105" s="1181"/>
      <c r="P105" s="1181"/>
      <c r="Q105" s="1181"/>
      <c r="R105" s="1181"/>
      <c r="S105" s="1181"/>
      <c r="T105" s="1181"/>
      <c r="U105" s="1181"/>
      <c r="V105" s="1181"/>
      <c r="W105" s="1181"/>
      <c r="X105" s="1181"/>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c r="AR105" s="1181"/>
      <c r="AS105" s="1181"/>
      <c r="AT105" s="1181"/>
      <c r="AU105" s="1181"/>
      <c r="AV105" s="1181"/>
      <c r="AW105" s="1181"/>
      <c r="AX105" s="1181"/>
      <c r="AY105" s="1182"/>
    </row>
    <row r="106" spans="1:51" x14ac:dyDescent="0.3">
      <c r="A106" s="1183" t="s">
        <v>3658</v>
      </c>
      <c r="B106" s="1184"/>
      <c r="C106" s="1184"/>
      <c r="D106" s="1184"/>
      <c r="E106" s="1184"/>
      <c r="F106" s="1184"/>
      <c r="G106" s="1184"/>
      <c r="H106" s="1184"/>
      <c r="I106" s="1184"/>
      <c r="J106" s="1184"/>
      <c r="K106" s="1184"/>
      <c r="L106" s="1184"/>
      <c r="M106" s="1184"/>
      <c r="N106" s="1184"/>
      <c r="O106" s="1184"/>
      <c r="P106" s="1184"/>
      <c r="Q106" s="1184"/>
      <c r="R106" s="1184"/>
      <c r="S106" s="1184"/>
      <c r="T106" s="1184"/>
      <c r="U106" s="1184"/>
      <c r="V106" s="1184"/>
      <c r="W106" s="1184"/>
      <c r="X106" s="1184"/>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184"/>
      <c r="AS106" s="1184"/>
      <c r="AT106" s="1184"/>
      <c r="AU106" s="1184"/>
      <c r="AV106" s="1184"/>
      <c r="AW106" s="1184"/>
      <c r="AX106" s="1184"/>
      <c r="AY106" s="1185"/>
    </row>
    <row r="107" spans="1:51" x14ac:dyDescent="0.3">
      <c r="A107" s="1186" t="s">
        <v>3659</v>
      </c>
      <c r="B107" s="1187"/>
      <c r="C107" s="1187"/>
      <c r="D107" s="1187"/>
      <c r="E107" s="1187"/>
      <c r="F107" s="1187"/>
      <c r="G107" s="1187"/>
      <c r="H107" s="1187"/>
      <c r="I107" s="1187"/>
      <c r="J107" s="1187"/>
      <c r="K107" s="1187"/>
      <c r="L107" s="1187"/>
      <c r="M107" s="1187"/>
      <c r="N107" s="1187"/>
      <c r="O107" s="1187"/>
      <c r="P107" s="1187"/>
      <c r="Q107" s="1187"/>
      <c r="R107" s="1187"/>
      <c r="S107" s="1187"/>
      <c r="T107" s="1187"/>
      <c r="U107" s="1187"/>
      <c r="V107" s="1187"/>
      <c r="W107" s="1187"/>
      <c r="X107" s="1187"/>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187"/>
      <c r="AS107" s="1187"/>
      <c r="AT107" s="1187"/>
      <c r="AU107" s="1187"/>
      <c r="AV107" s="1187"/>
      <c r="AW107" s="1187"/>
      <c r="AX107" s="1187"/>
      <c r="AY107" s="1188"/>
    </row>
    <row r="108" spans="1:51" ht="15" thickBot="1" x14ac:dyDescent="0.35">
      <c r="A108" s="1189" t="s">
        <v>3660</v>
      </c>
      <c r="B108" s="1190"/>
      <c r="C108" s="1190"/>
      <c r="D108" s="1190"/>
      <c r="E108" s="1190"/>
      <c r="F108" s="1190"/>
      <c r="G108" s="1190"/>
      <c r="H108" s="1190"/>
      <c r="I108" s="1190"/>
      <c r="J108" s="1190"/>
      <c r="K108" s="1190"/>
      <c r="L108" s="1190"/>
      <c r="M108" s="1190"/>
      <c r="N108" s="1190"/>
      <c r="O108" s="1190"/>
      <c r="P108" s="1190"/>
      <c r="Q108" s="1190"/>
      <c r="R108" s="1190"/>
      <c r="S108" s="1190"/>
      <c r="T108" s="1190"/>
      <c r="U108" s="1190"/>
      <c r="V108" s="1190"/>
      <c r="W108" s="1190"/>
      <c r="X108" s="1190"/>
      <c r="Y108" s="1190"/>
      <c r="Z108" s="1190"/>
      <c r="AA108" s="1190"/>
      <c r="AB108" s="1190"/>
      <c r="AC108" s="1190"/>
      <c r="AD108" s="1190"/>
      <c r="AE108" s="1190"/>
      <c r="AF108" s="1190"/>
      <c r="AG108" s="1190"/>
      <c r="AH108" s="1190"/>
      <c r="AI108" s="1190"/>
      <c r="AJ108" s="1190"/>
      <c r="AK108" s="1190"/>
      <c r="AL108" s="1190"/>
      <c r="AM108" s="1190"/>
      <c r="AN108" s="1190"/>
      <c r="AO108" s="1190"/>
      <c r="AP108" s="1190"/>
      <c r="AQ108" s="1190"/>
      <c r="AR108" s="1190"/>
      <c r="AS108" s="1190"/>
      <c r="AT108" s="1190"/>
      <c r="AU108" s="1190"/>
      <c r="AV108" s="1190"/>
      <c r="AW108" s="1190"/>
      <c r="AX108" s="1190"/>
      <c r="AY108" s="1191"/>
    </row>
  </sheetData>
  <sheetProtection algorithmName="SHA-512" hashValue="vTQWyWB/wtE74UzpCpPWDaw7gvedoQYm6Wr2W/JQ0cOBdioI1vYbiFK2IYoDj4pOJylDlRG8LTTneEE2e0S25A==" saltValue="NEMpPdDrJ6vW8X3Qi6YjkA==" spinCount="100000" sheet="1" formatColumns="0" formatRows="0" insertRows="0"/>
  <mergeCells count="46">
    <mergeCell ref="A78:AY78"/>
    <mergeCell ref="A77:AY77"/>
    <mergeCell ref="A76:AY76"/>
    <mergeCell ref="A69:AY69"/>
    <mergeCell ref="A70:AY70"/>
    <mergeCell ref="A71:AY71"/>
    <mergeCell ref="A74:AY74"/>
    <mergeCell ref="A75:AY75"/>
    <mergeCell ref="A72:AY72"/>
    <mergeCell ref="A73:AY73"/>
    <mergeCell ref="A83:AY83"/>
    <mergeCell ref="A82:AY82"/>
    <mergeCell ref="A81:AY81"/>
    <mergeCell ref="A80:AY80"/>
    <mergeCell ref="A79:AY79"/>
    <mergeCell ref="A67:AY67"/>
    <mergeCell ref="A68:AY68"/>
    <mergeCell ref="A65:AY65"/>
    <mergeCell ref="A66:AY66"/>
    <mergeCell ref="A62:AY62"/>
    <mergeCell ref="A63:AY63"/>
    <mergeCell ref="A64:AY64"/>
    <mergeCell ref="A85:AY85"/>
    <mergeCell ref="A86:AY86"/>
    <mergeCell ref="A87:AY87"/>
    <mergeCell ref="A88:AY88"/>
    <mergeCell ref="A89:AY89"/>
    <mergeCell ref="A90:AY90"/>
    <mergeCell ref="A91:AY91"/>
    <mergeCell ref="A92:AY92"/>
    <mergeCell ref="A93:AY93"/>
    <mergeCell ref="A94:AY94"/>
    <mergeCell ref="A95:AY95"/>
    <mergeCell ref="A96:AY96"/>
    <mergeCell ref="A97:AY97"/>
    <mergeCell ref="A98:AY98"/>
    <mergeCell ref="A99:AY99"/>
    <mergeCell ref="A105:AY105"/>
    <mergeCell ref="A106:AY106"/>
    <mergeCell ref="A107:AY107"/>
    <mergeCell ref="A108:AY108"/>
    <mergeCell ref="A100:AY100"/>
    <mergeCell ref="A101:AY101"/>
    <mergeCell ref="A102:AY102"/>
    <mergeCell ref="A103:AY103"/>
    <mergeCell ref="A104:AY104"/>
  </mergeCells>
  <conditionalFormatting sqref="A52:A65">
    <cfRule type="expression" dxfId="72" priority="4">
      <formula>OR($B$8="Liquid", $B$8="Gas")</formula>
    </cfRule>
  </conditionalFormatting>
  <conditionalFormatting sqref="B52:F61">
    <cfRule type="expression" dxfId="71" priority="1">
      <formula>OR($B$8="Liquid", $B$8="Gas")</formula>
    </cfRule>
  </conditionalFormatting>
  <dataValidations count="10">
    <dataValidation type="decimal" operator="equal" allowBlank="1" showInputMessage="1" showErrorMessage="1" sqref="D33:D38 D2:D5 E2:E10 D7:D30 E12:E61 C2:C61 D40:D61"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fclProjectId xmlns="1daca54f-5fb0-46da-90de-dff88369e459">2501101243377829</efclProjectId>
    <efclPublishedToWebsite xmlns="1daca54f-5fb0-46da-90de-dff88369e459" xsi:nil="true"/>
    <i09da1fbf7d14ea9973a5584dd477f13 xmlns="1daca54f-5fb0-46da-90de-dff88369e459">
      <Terms xmlns="http://schemas.microsoft.com/office/infopath/2007/PartnerControls"/>
    </i09da1fbf7d14ea9973a5584dd477f13>
    <efclPublishedTo xmlns="1daca54f-5fb0-46da-90de-dff88369e459">
      <Url xsi:nil="true"/>
      <Description xsi:nil="true"/>
    </efclPublishedTo>
    <ge496a40d5c44658bad5a6d98308f1ba xmlns="1daca54f-5fb0-46da-90de-dff88369e459">
      <Terms xmlns="http://schemas.microsoft.com/office/infopath/2007/PartnerControls"/>
    </ge496a40d5c44658bad5a6d98308f1ba>
    <efclDocumentDescription xmlns="1daca54f-5fb0-46da-90de-dff88369e459" xsi:nil="true"/>
    <p59a4e4f2bd147658de67f2316c08396 xmlns="1daca54f-5fb0-46da-90de-dff88369e459">
      <Terms xmlns="http://schemas.microsoft.com/office/infopath/2007/PartnerControls"/>
    </p59a4e4f2bd147658de67f2316c08396>
    <TaxCatchAll xmlns="1daca54f-5fb0-46da-90de-dff88369e459" xsi:nil="true"/>
    <efclPublishedToMeeting xmlns="1daca54f-5fb0-46da-90de-dff88369e459" xsi:nil="true"/>
    <e13db7feed7b463daca4211c55acd0c4 xmlns="1daca54f-5fb0-46da-90de-dff88369e459">
      <Terms xmlns="http://schemas.microsoft.com/office/infopath/2007/PartnerControls"/>
    </e13db7feed7b463daca4211c55acd0c4>
  </documentManagement>
</p:properties>
</file>

<file path=customXml/item3.xml><?xml version="1.0" encoding="utf-8"?>
<ct:contentTypeSchema xmlns:ct="http://schemas.microsoft.com/office/2006/metadata/contentType" xmlns:ma="http://schemas.microsoft.com/office/2006/metadata/properties/metaAttributes" ct:_="" ma:_="" ma:contentTypeName="Project Document" ma:contentTypeID="0x010100424757986E2540868CAE723C1A3093F1010075358054E2A84B419DAF55079D0D5A5D" ma:contentTypeVersion="16" ma:contentTypeDescription="Create a new document." ma:contentTypeScope="" ma:versionID="c3a21bd6018ed078a8087cfbbeb3a34e">
  <xsd:schema xmlns:xsd="http://www.w3.org/2001/XMLSchema" xmlns:xs="http://www.w3.org/2001/XMLSchema" xmlns:p="http://schemas.microsoft.com/office/2006/metadata/properties" xmlns:ns2="1daca54f-5fb0-46da-90de-dff88369e459" xmlns:ns3="03dbcffb-d0ee-4b89-b5e3-7c232fa0562c" targetNamespace="http://schemas.microsoft.com/office/2006/metadata/properties" ma:root="true" ma:fieldsID="c41430db80e38006dd9c33000cbb2a3e" ns2:_="" ns3:_="">
    <xsd:import namespace="1daca54f-5fb0-46da-90de-dff88369e459"/>
    <xsd:import namespace="03dbcffb-d0ee-4b89-b5e3-7c232fa0562c"/>
    <xsd:element name="properties">
      <xsd:complexType>
        <xsd:sequence>
          <xsd:element name="documentManagement">
            <xsd:complexType>
              <xsd:all>
                <xsd:element ref="ns2:ge496a40d5c44658bad5a6d98308f1ba" minOccurs="0"/>
                <xsd:element ref="ns2:TaxCatchAll" minOccurs="0"/>
                <xsd:element ref="ns2:TaxCatchAllLabel" minOccurs="0"/>
                <xsd:element ref="ns2:efclDocumentDescription" minOccurs="0"/>
                <xsd:element ref="ns2:efclProjectId" minOccurs="0"/>
                <xsd:element ref="ns2:p59a4e4f2bd147658de67f2316c08396" minOccurs="0"/>
                <xsd:element ref="ns2:i09da1fbf7d14ea9973a5584dd477f13" minOccurs="0"/>
                <xsd:element ref="ns2:e13db7feed7b463daca4211c55acd0c4" minOccurs="0"/>
                <xsd:element ref="ns2:efclPublishedToMeeting" minOccurs="0"/>
                <xsd:element ref="ns2:efclPublishedToWebsite" minOccurs="0"/>
                <xsd:element ref="ns2:efclPublishedTo"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aca54f-5fb0-46da-90de-dff88369e459" elementFormDefault="qualified">
    <xsd:import namespace="http://schemas.microsoft.com/office/2006/documentManagement/types"/>
    <xsd:import namespace="http://schemas.microsoft.com/office/infopath/2007/PartnerControls"/>
    <xsd:element name="ge496a40d5c44658bad5a6d98308f1ba" ma:index="8" nillable="true" ma:taxonomy="true" ma:internalName="ge496a40d5c44658bad5a6d98308f1ba" ma:taxonomyFieldName="efclDocumentType" ma:displayName="Document Type" ma:fieldId="{0e496a40-d5c4-4658-bad5-a6d98308f1ba}" ma:sspId="b5354ee9-1167-4e6c-842d-e3226f29bc49" ma:termSetId="4a3b34fd-4214-4cbe-a4ca-75cc788de7b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48a8a40-94a0-4074-8100-87d75799240b}" ma:internalName="TaxCatchAll" ma:showField="CatchAllData"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48a8a40-94a0-4074-8100-87d75799240b}" ma:internalName="TaxCatchAllLabel" ma:readOnly="true" ma:showField="CatchAllDataLabel"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efclDocumentDescription" ma:index="12" nillable="true" ma:displayName="Document Description" ma:internalName="efclDocumentDescription">
      <xsd:simpleType>
        <xsd:restriction base="dms:Note">
          <xsd:maxLength value="255"/>
        </xsd:restriction>
      </xsd:simpleType>
    </xsd:element>
    <xsd:element name="efclProjectId" ma:index="13" nillable="true" ma:displayName="Project ID" ma:default="2501101243377829" ma:internalName="efclProjectId">
      <xsd:simpleType>
        <xsd:restriction base="dms:Text"/>
      </xsd:simpleType>
    </xsd:element>
    <xsd:element name="p59a4e4f2bd147658de67f2316c08396" ma:index="14" nillable="true" ma:taxonomy="true" ma:internalName="p59a4e4f2bd147658de67f2316c08396" ma:taxonomyFieldName="efclTopics" ma:displayName="Topics" ma:readOnly="false" ma:fieldId="{959a4e4f-2bd1-4765-8de6-7f2316c08396}" ma:taxonomyMulti="true" ma:sspId="b5354ee9-1167-4e6c-842d-e3226f29bc49" ma:termSetId="319aa627-c73c-4f98-a92f-bfbccc408535" ma:anchorId="00000000-0000-0000-0000-000000000000" ma:open="false" ma:isKeyword="false">
      <xsd:complexType>
        <xsd:sequence>
          <xsd:element ref="pc:Terms" minOccurs="0" maxOccurs="1"/>
        </xsd:sequence>
      </xsd:complexType>
    </xsd:element>
    <xsd:element name="i09da1fbf7d14ea9973a5584dd477f13" ma:index="16" nillable="true" ma:taxonomy="true" ma:internalName="i09da1fbf7d14ea9973a5584dd477f13" ma:taxonomyFieldName="efclStandards" ma:displayName="Standards" ma:readOnly="false" ma:fieldId="{209da1fb-f7d1-4ea9-973a-5584dd477f13}" ma:taxonomyMulti="true" ma:sspId="b5354ee9-1167-4e6c-842d-e3226f29bc49" ma:termSetId="fde5f5a0-e3e9-40ac-9599-ce094e9f11cc" ma:anchorId="00000000-0000-0000-0000-000000000000" ma:open="false" ma:isKeyword="false">
      <xsd:complexType>
        <xsd:sequence>
          <xsd:element ref="pc:Terms" minOccurs="0" maxOccurs="1"/>
        </xsd:sequence>
      </xsd:complexType>
    </xsd:element>
    <xsd:element name="e13db7feed7b463daca4211c55acd0c4" ma:index="18" nillable="true" ma:taxonomy="true" ma:internalName="e13db7feed7b463daca4211c55acd0c4" ma:taxonomyFieldName="efclProjectStage" ma:displayName="Project Stage" ma:default="253;#Research phase|5bf5d1b0-3201-4aff-a408-fb5a935de7e7" ma:fieldId="{e13db7fe-ed7b-463d-aca4-211c55acd0c4}" ma:sspId="b5354ee9-1167-4e6c-842d-e3226f29bc49" ma:termSetId="9b49bf5b-71f9-4ba2-853c-72048cccbf8f" ma:anchorId="00000000-0000-0000-0000-000000000000" ma:open="false" ma:isKeyword="false">
      <xsd:complexType>
        <xsd:sequence>
          <xsd:element ref="pc:Terms" minOccurs="0" maxOccurs="1"/>
        </xsd:sequence>
      </xsd:complexType>
    </xsd:element>
    <xsd:element name="efclPublishedToMeeting" ma:index="20" nillable="true" ma:displayName="Published To meeting?" ma:hidden="true" ma:internalName="efclPublishedToMeeting" ma:readOnly="false">
      <xsd:simpleType>
        <xsd:restriction base="dms:Boolean"/>
      </xsd:simpleType>
    </xsd:element>
    <xsd:element name="efclPublishedToWebsite" ma:index="21" nillable="true" ma:displayName="Published To website?" ma:hidden="true" ma:internalName="efclPublishedToWebsite" ma:readOnly="false">
      <xsd:simpleType>
        <xsd:restriction base="dms:Boolean"/>
      </xsd:simpleType>
    </xsd:element>
    <xsd:element name="efclPublishedTo" ma:index="22" nillable="true" ma:displayName="Published To" ma:internalName="efclPublishedTo">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dbcffb-d0ee-4b89-b5e3-7c232fa0562c"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AEBA6F-9411-4923-AA77-FC83D4C0025F}">
  <ds:schemaRefs>
    <ds:schemaRef ds:uri="http://schemas.microsoft.com/sharepoint/v3/contenttype/forms"/>
  </ds:schemaRefs>
</ds:datastoreItem>
</file>

<file path=customXml/itemProps2.xml><?xml version="1.0" encoding="utf-8"?>
<ds:datastoreItem xmlns:ds="http://schemas.openxmlformats.org/officeDocument/2006/customXml" ds:itemID="{F23942F3-16A5-4815-B8A9-F6DE569DC588}">
  <ds:schemaRefs>
    <ds:schemaRef ds:uri="03dbcffb-d0ee-4b89-b5e3-7c232fa0562c"/>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www.w3.org/XML/1998/namespace"/>
    <ds:schemaRef ds:uri="1daca54f-5fb0-46da-90de-dff88369e459"/>
    <ds:schemaRef ds:uri="http://schemas.microsoft.com/office/2006/metadata/properties"/>
    <ds:schemaRef ds:uri="http://purl.org/dc/elements/1.1/"/>
    <ds:schemaRef ds:uri="http://purl.org/dc/terms/"/>
  </ds:schemaRefs>
</ds:datastoreItem>
</file>

<file path=customXml/itemProps3.xml><?xml version="1.0" encoding="utf-8"?>
<ds:datastoreItem xmlns:ds="http://schemas.openxmlformats.org/officeDocument/2006/customXml" ds:itemID="{2C5FD091-3A15-40A1-A72C-66A40E4C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aca54f-5fb0-46da-90de-dff88369e459"/>
    <ds:schemaRef ds:uri="03dbcffb-d0ee-4b89-b5e3-7c232fa056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792</vt:i4>
      </vt:variant>
    </vt:vector>
  </HeadingPairs>
  <TitlesOfParts>
    <vt:vector size="806" baseType="lpstr">
      <vt:lpstr>Cover Page Template Sample</vt:lpstr>
      <vt:lpstr>Introduction</vt:lpstr>
      <vt:lpstr>Table of Contents &amp; Validation</vt:lpstr>
      <vt:lpstr>General Information</vt:lpstr>
      <vt:lpstr>Environmental Disclosures</vt:lpstr>
      <vt:lpstr>Social Disclosures</vt:lpstr>
      <vt:lpstr>Governance Disclosures</vt:lpstr>
      <vt:lpstr>Fuel Converter</vt:lpstr>
      <vt:lpstr>Fuel Conversion Parameters</vt:lpstr>
      <vt:lpstr>Unit Of Measurement Converter</vt:lpstr>
      <vt:lpstr>Licence</vt:lpstr>
      <vt:lpstr>Enumeration Lists</vt:lpstr>
      <vt:lpstr>Translations</vt:lpstr>
      <vt:lpstr>Technical Sheet</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enum_ListNACECode</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template_b1_basis_for_preparation_and_other_undertakings_general_information</vt:lpstr>
      <vt:lpstr>template_b1_disclosure_of_sustainability_related_certifications_or_labels</vt:lpstr>
      <vt:lpstr>template_b1_list_of_sites</vt:lpstr>
      <vt:lpstr>template_b1_list_of_subsidiaries</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template_currency</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template_label_annual_mass_flow_of_relevant_materials_used_validation</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template_label_b1_basis_for_preparation_and_other_undertakings_general_information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template_label_b10_workforce_remuneration_collective_bargaining_and_training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template_label_basis_for_preparation_and_other_undertakings_general_information_validation</vt:lpstr>
      <vt:lpstr>template_label_basis_for_reporting</vt:lpstr>
      <vt:lpstr>template_label_below_are_specified_all_the_units_of_measurement_conversions_of_each_table</vt:lpstr>
      <vt:lpstr>template_label_biodiversity_and_ecosystems</vt:lpstr>
      <vt:lpstr>template_label_biodiversity_land_use_validation</vt:lpstr>
      <vt:lpstr>template_label_breakdown_of_energy_consumption_in_mwh_validation</vt:lpstr>
      <vt:lpstr>template_label_business_conduct</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template_label_cooperative_specific_disclosures_validation</vt:lpstr>
      <vt:lpstr>template_label_country</vt:lpstr>
      <vt:lpstr>template_label_country_of_employment_contract</vt:lpstr>
      <vt:lpstr>template_label_country_of_employment_validation</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template_label_description_of_circular_economy_principles_validation</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template_label_disclosure_of_any_other_environmental_and_or_entity_specific_environmental_disclosures_validation</vt:lpstr>
      <vt:lpstr>template_label_disclosure_of_any_other_general_and_or_entity_specific_information_on_the_reporting_period</vt:lpstr>
      <vt:lpstr>template_label_disclosure_of_any_other_general_and_or_entity_specific_information_on_the_reporting_period_validation</vt:lpstr>
      <vt:lpstr>template_label_disclosure_of_any_other_governance_and_or_entity_specific_governance_disclosures</vt:lpstr>
      <vt:lpstr>template_label_disclosure_of_any_other_governance_and_or_entity_specific_governance_disclosures_validation</vt:lpstr>
      <vt:lpstr>template_label_disclosure_of_any_other_social_and_or_entity_specific_social_disclosures</vt:lpstr>
      <vt:lpstr>template_label_disclosure_of_any_other_social_and_or_entity_specific_social_disclosures_validation</vt:lpstr>
      <vt:lpstr>template_label_disclosure_of_how_it_has_assessed_the_exposure_and_sensitivity_of_its_assets</vt:lpstr>
      <vt:lpstr>template_label_disclosure_of_list_of_main_actions_the_entity_seeks_in_order_to_achieve_its_targets_validation</vt:lpstr>
      <vt:lpstr>template_label_disclosure_of_sustainability_related_certifications_or_labels_validation</vt:lpstr>
      <vt:lpstr>template_label_disclosure_of_whether_it_has_undertaken_climate_change_adaptation_actions</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template_label_estimated_greenhouse_gas_emissions_considering_the_ghg_protocol_version_2004_in_tco2e_validation</vt:lpstr>
      <vt:lpstr>template_label_exclusion_from_eu_reference_benchmarks_validation</vt:lpstr>
      <vt:lpstr>template_label_female</vt:lpstr>
      <vt:lpstr>template_label_female_to_male_ratio_at_management_level_for_the_reporting_period</vt:lpstr>
      <vt:lpstr>template_label_financial_investment_in_the_capital_or_assets_of_social_economy_entities</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template_label_gender_validation</vt:lpstr>
      <vt:lpstr>template_label_general_information_validation</vt:lpstr>
      <vt:lpstr>template_label_general_principles</vt:lpstr>
      <vt:lpstr>template_label_geolocalisation_warning</vt:lpstr>
      <vt:lpstr>template_label_GHG_calculator</vt:lpstr>
      <vt:lpstr>template_label_ghg_reduction_targets_in_tc02e_validation</vt:lpstr>
      <vt:lpstr>template_label_governance_disclosures_validation</vt:lpstr>
      <vt:lpstr>template_label_gps_coordinates</vt:lpstr>
      <vt:lpstr>template_label_greenhouse_gas_emission_intensity_per_turnover_validation</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template_label_information_on_previous_reporting_period</vt:lpstr>
      <vt:lpstr>template_label_information_on_previous_reporting_period_validation</vt:lpstr>
      <vt:lpstr>template_label_information_on_the_report_necessary_for_xbrl</vt:lpstr>
      <vt:lpstr>template_label_information_on_the_report_necessary_for_xbrl_validation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template_label_list_of_sites_validation</vt:lpstr>
      <vt:lpstr>template_label_list_of_subsidiaries_validation</vt:lpstr>
      <vt:lpstr>template_label_lists_can_be_expanded_using_the_plus_button_on_the_left</vt:lpstr>
      <vt:lpstr>template_label_main_title_of_report_text</vt:lpstr>
      <vt:lpstr>template_label_male</vt:lpstr>
      <vt:lpstr>template_label_mass_gaseous_fuels</vt:lpstr>
      <vt:lpstr>template_label_mass_liquid_fuels</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template_label_practices_policies_and_future_initiatives_for_transitioning_towards_a_more_sustainable_economy_validation</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template_label_revenues_from_certain_sectors_validation</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template_label_sites_in_biodiversity_sensitive_areas_validation</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template_label_total_energy_consumption_in_mwh_validation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template_label_transition_plan_for_undertakings_operating_in_high_climate_impact_sectors_validation</vt:lpstr>
      <vt:lpstr>template_label_turnover_in</vt:lpstr>
      <vt:lpstr>template_label_turnover_rate_validation</vt:lpstr>
      <vt:lpstr>template_label_type_of_contract</vt:lpstr>
      <vt:lpstr>template_label_type_of_contract_validation</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template_label_validation_missing_value_error_velue_inconsistency_invalid_url</vt:lpstr>
      <vt:lpstr>template_label_validation_ok</vt:lpstr>
      <vt:lpstr>template_label_value_inconsistency</vt:lpstr>
      <vt:lpstr>template_label_version</vt:lpstr>
      <vt:lpstr>template_label_vsme_digital_template</vt:lpstr>
      <vt:lpstr>template_label_waste_directed_to_disposal</vt:lpstr>
      <vt:lpstr>template_label_waste_diverted_to_recycle_or_reuse</vt:lpstr>
      <vt:lpstr>template_label_waste_generated_validation</vt:lpstr>
      <vt:lpstr>template_label_water_and_marine_resources</vt:lpstr>
      <vt:lpstr>template_label_water_consumption_validation</vt:lpstr>
      <vt:lpstr>template_label_water_discharge_from_undertaking_production_processes</vt:lpstr>
      <vt:lpstr>template_label_water_withdrawal_validation</vt:lpstr>
      <vt:lpstr>template_label_workers_in_the_value_chain</vt:lpstr>
      <vt:lpstr>template_label_XBRL_facts_in_report</vt:lpstr>
      <vt:lpstr>template_label_year</vt:lpstr>
      <vt:lpstr>template_label_year_date</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Sergio Carosio</cp:lastModifiedBy>
  <cp:revision/>
  <dcterms:created xsi:type="dcterms:W3CDTF">2025-01-13T10:12:12Z</dcterms:created>
  <dcterms:modified xsi:type="dcterms:W3CDTF">2025-11-27T08:38:13Z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0x010100424757986E2540868CAE723C1A3093F1010075358054E2A84B419DAF55079D0D5A5D</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